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characteristicimpedance\"/>
    </mc:Choice>
  </mc:AlternateContent>
  <xr:revisionPtr revIDLastSave="0" documentId="13_ncr:1_{345880CB-6EB9-4B48-B41C-50E1A9C0893B}" xr6:coauthVersionLast="47" xr6:coauthVersionMax="47" xr10:uidLastSave="{00000000-0000-0000-0000-000000000000}"/>
  <bookViews>
    <workbookView xWindow="11535" yWindow="1215" windowWidth="20190" windowHeight="13140" activeTab="1" xr2:uid="{38314D80-3681-4D28-94AD-2F2B7ED4C231}"/>
  </bookViews>
  <sheets>
    <sheet name="Indirect Computation" sheetId="1" r:id="rId1"/>
    <sheet name="Direct Computation" sheetId="2" r:id="rId2"/>
    <sheet name="Study of f3" sheetId="10" r:id="rId3"/>
    <sheet name="Newton-f3f3" sheetId="3" r:id="rId4"/>
    <sheet name="Newton-fnewfnew" sheetId="9" r:id="rId5"/>
    <sheet name="Newton-fnewf3" sheetId="5" r:id="rId6"/>
    <sheet name="Newton-f1f3" sheetId="4" r:id="rId7"/>
    <sheet name="Newton-f2f3" sheetId="6" r:id="rId8"/>
    <sheet name="Newton-f7f3" sheetId="7" r:id="rId9"/>
    <sheet name="Newton-fpmaxf3" sheetId="8" r:id="rId10"/>
  </sheets>
  <definedNames>
    <definedName name="_Hlk93484099" localSheetId="0">'Indirect Computation'!$B$18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E9" i="2"/>
  <c r="F9" i="2"/>
  <c r="G9" i="2"/>
  <c r="H9" i="2"/>
  <c r="I9" i="2"/>
  <c r="L9" i="2" s="1"/>
  <c r="J9" i="2"/>
  <c r="O9" i="2"/>
  <c r="K9" i="2"/>
  <c r="I13" i="2"/>
  <c r="L13" i="2" s="1"/>
  <c r="K13" i="2"/>
  <c r="I21" i="2"/>
  <c r="L21" i="2" s="1"/>
  <c r="K21" i="2"/>
  <c r="M9" i="2" l="1"/>
  <c r="N9" i="2"/>
  <c r="R9" i="2"/>
  <c r="Q9" i="2"/>
  <c r="P9" i="2"/>
  <c r="I28" i="2"/>
  <c r="L28" i="2" s="1"/>
  <c r="K28" i="2"/>
  <c r="I26" i="2"/>
  <c r="K26" i="2"/>
  <c r="I25" i="2"/>
  <c r="K25" i="2"/>
  <c r="I17" i="2"/>
  <c r="K17" i="2"/>
  <c r="I12" i="2"/>
  <c r="K12" i="2"/>
  <c r="L17" i="2" l="1"/>
  <c r="L26" i="2"/>
  <c r="L25" i="2"/>
  <c r="L12" i="2"/>
  <c r="R4" i="10" l="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3" i="10"/>
  <c r="P4" i="10"/>
  <c r="Q4" i="10" s="1"/>
  <c r="P5" i="10"/>
  <c r="Q5" i="10" s="1"/>
  <c r="P6" i="10"/>
  <c r="Q6" i="10" s="1"/>
  <c r="P7" i="10"/>
  <c r="Q7" i="10" s="1"/>
  <c r="P8" i="10"/>
  <c r="Q8" i="10" s="1"/>
  <c r="P9" i="10"/>
  <c r="Q9" i="10" s="1"/>
  <c r="P10" i="10"/>
  <c r="Q10" i="10" s="1"/>
  <c r="P11" i="10"/>
  <c r="Q11" i="10" s="1"/>
  <c r="P12" i="10"/>
  <c r="Q12" i="10" s="1"/>
  <c r="P13" i="10"/>
  <c r="Q13" i="10" s="1"/>
  <c r="P14" i="10"/>
  <c r="Q14" i="10" s="1"/>
  <c r="P15" i="10"/>
  <c r="Q15" i="10" s="1"/>
  <c r="P16" i="10"/>
  <c r="Q16" i="10" s="1"/>
  <c r="P17" i="10"/>
  <c r="Q17" i="10" s="1"/>
  <c r="P18" i="10"/>
  <c r="Q18" i="10" s="1"/>
  <c r="P19" i="10"/>
  <c r="Q19" i="10" s="1"/>
  <c r="P20" i="10"/>
  <c r="Q20" i="10" s="1"/>
  <c r="P21" i="10"/>
  <c r="Q21" i="10" s="1"/>
  <c r="P22" i="10"/>
  <c r="Q22" i="10" s="1"/>
  <c r="P23" i="10"/>
  <c r="Q23" i="10" s="1"/>
  <c r="P24" i="10"/>
  <c r="Q24" i="10" s="1"/>
  <c r="P25" i="10"/>
  <c r="Q25" i="10" s="1"/>
  <c r="P26" i="10"/>
  <c r="Q26" i="10" s="1"/>
  <c r="P27" i="10"/>
  <c r="Q27" i="10" s="1"/>
  <c r="P28" i="10"/>
  <c r="Q28" i="10" s="1"/>
  <c r="P29" i="10"/>
  <c r="Q29" i="10" s="1"/>
  <c r="P30" i="10"/>
  <c r="Q30" i="10" s="1"/>
  <c r="P31" i="10"/>
  <c r="Q31" i="10" s="1"/>
  <c r="P32" i="10"/>
  <c r="Q32" i="10" s="1"/>
  <c r="P33" i="10"/>
  <c r="Q33" i="10" s="1"/>
  <c r="P34" i="10"/>
  <c r="Q34" i="10" s="1"/>
  <c r="P35" i="10"/>
  <c r="Q35" i="10" s="1"/>
  <c r="P36" i="10"/>
  <c r="Q36" i="10" s="1"/>
  <c r="P37" i="10"/>
  <c r="Q37" i="10" s="1"/>
  <c r="P38" i="10"/>
  <c r="Q38" i="10" s="1"/>
  <c r="P39" i="10"/>
  <c r="Q39" i="10" s="1"/>
  <c r="P40" i="10"/>
  <c r="Q40" i="10" s="1"/>
  <c r="P41" i="10"/>
  <c r="Q41" i="10" s="1"/>
  <c r="P3" i="10"/>
  <c r="Q3" i="10" s="1"/>
  <c r="O8" i="10"/>
  <c r="O12" i="10"/>
  <c r="O16" i="10"/>
  <c r="O20" i="10"/>
  <c r="O24" i="10"/>
  <c r="O28" i="10"/>
  <c r="O32" i="10"/>
  <c r="O36" i="10"/>
  <c r="O40" i="10"/>
  <c r="E6" i="10"/>
  <c r="F6" i="10" s="1"/>
  <c r="G6" i="10"/>
  <c r="H6" i="10" s="1"/>
  <c r="E4" i="10"/>
  <c r="F4" i="10" s="1"/>
  <c r="G4" i="10"/>
  <c r="H4" i="10" s="1"/>
  <c r="E5" i="10"/>
  <c r="F5" i="10" s="1"/>
  <c r="G5" i="10"/>
  <c r="H5" i="10" s="1"/>
  <c r="I5" i="10" s="1"/>
  <c r="J5" i="10" s="1"/>
  <c r="K5" i="10" s="1"/>
  <c r="G7" i="10"/>
  <c r="G8" i="10"/>
  <c r="H8" i="10" s="1"/>
  <c r="G9" i="10"/>
  <c r="G10" i="10"/>
  <c r="H10" i="10" s="1"/>
  <c r="G11" i="10"/>
  <c r="H11" i="10" s="1"/>
  <c r="G12" i="10"/>
  <c r="H12" i="10" s="1"/>
  <c r="G13" i="10"/>
  <c r="G14" i="10"/>
  <c r="H14" i="10" s="1"/>
  <c r="G15" i="10"/>
  <c r="G16" i="10"/>
  <c r="H16" i="10" s="1"/>
  <c r="G17" i="10"/>
  <c r="G18" i="10"/>
  <c r="H18" i="10" s="1"/>
  <c r="G19" i="10"/>
  <c r="H19" i="10" s="1"/>
  <c r="G20" i="10"/>
  <c r="H20" i="10" s="1"/>
  <c r="G21" i="10"/>
  <c r="G22" i="10"/>
  <c r="H22" i="10" s="1"/>
  <c r="G23" i="10"/>
  <c r="G24" i="10"/>
  <c r="H24" i="10" s="1"/>
  <c r="G25" i="10"/>
  <c r="G26" i="10"/>
  <c r="H26" i="10" s="1"/>
  <c r="G27" i="10"/>
  <c r="H27" i="10" s="1"/>
  <c r="G28" i="10"/>
  <c r="H28" i="10" s="1"/>
  <c r="G29" i="10"/>
  <c r="G30" i="10"/>
  <c r="H30" i="10" s="1"/>
  <c r="G31" i="10"/>
  <c r="G32" i="10"/>
  <c r="H32" i="10" s="1"/>
  <c r="G33" i="10"/>
  <c r="G34" i="10"/>
  <c r="H34" i="10" s="1"/>
  <c r="G35" i="10"/>
  <c r="H35" i="10" s="1"/>
  <c r="G36" i="10"/>
  <c r="H36" i="10" s="1"/>
  <c r="G37" i="10"/>
  <c r="G38" i="10"/>
  <c r="H38" i="10" s="1"/>
  <c r="G39" i="10"/>
  <c r="G40" i="10"/>
  <c r="H40" i="10" s="1"/>
  <c r="G41" i="10"/>
  <c r="G3" i="10"/>
  <c r="H13" i="10"/>
  <c r="H21" i="10"/>
  <c r="H29" i="10"/>
  <c r="E7" i="10"/>
  <c r="F7" i="10" s="1"/>
  <c r="E8" i="10"/>
  <c r="F8" i="10" s="1"/>
  <c r="E9" i="10"/>
  <c r="F9" i="10" s="1"/>
  <c r="E10" i="10"/>
  <c r="F10" i="10" s="1"/>
  <c r="E11" i="10"/>
  <c r="F11" i="10" s="1"/>
  <c r="E12" i="10"/>
  <c r="F12" i="10" s="1"/>
  <c r="E13" i="10"/>
  <c r="F13" i="10" s="1"/>
  <c r="E14" i="10"/>
  <c r="F14" i="10" s="1"/>
  <c r="E15" i="10"/>
  <c r="F15" i="10" s="1"/>
  <c r="E16" i="10"/>
  <c r="F16" i="10" s="1"/>
  <c r="E17" i="10"/>
  <c r="F17" i="10" s="1"/>
  <c r="E18" i="10"/>
  <c r="F18" i="10" s="1"/>
  <c r="E19" i="10"/>
  <c r="F19" i="10" s="1"/>
  <c r="E20" i="10"/>
  <c r="F20" i="10" s="1"/>
  <c r="E21" i="10"/>
  <c r="F21" i="10" s="1"/>
  <c r="E22" i="10"/>
  <c r="F22" i="10" s="1"/>
  <c r="E23" i="10"/>
  <c r="F23" i="10" s="1"/>
  <c r="E24" i="10"/>
  <c r="F24" i="10" s="1"/>
  <c r="E25" i="10"/>
  <c r="F25" i="10" s="1"/>
  <c r="E26" i="10"/>
  <c r="F26" i="10" s="1"/>
  <c r="E27" i="10"/>
  <c r="F27" i="10" s="1"/>
  <c r="E28" i="10"/>
  <c r="F28" i="10" s="1"/>
  <c r="E29" i="10"/>
  <c r="F29" i="10" s="1"/>
  <c r="E30" i="10"/>
  <c r="F30" i="10" s="1"/>
  <c r="E31" i="10"/>
  <c r="F31" i="10" s="1"/>
  <c r="E32" i="10"/>
  <c r="F32" i="10" s="1"/>
  <c r="E33" i="10"/>
  <c r="F33" i="10" s="1"/>
  <c r="E34" i="10"/>
  <c r="F34" i="10" s="1"/>
  <c r="E35" i="10"/>
  <c r="F35" i="10" s="1"/>
  <c r="E36" i="10"/>
  <c r="F36" i="10" s="1"/>
  <c r="E37" i="10"/>
  <c r="F37" i="10" s="1"/>
  <c r="E38" i="10"/>
  <c r="F38" i="10" s="1"/>
  <c r="E39" i="10"/>
  <c r="F39" i="10" s="1"/>
  <c r="E40" i="10"/>
  <c r="F40" i="10" s="1"/>
  <c r="E41" i="10"/>
  <c r="F41" i="10" s="1"/>
  <c r="E3" i="10"/>
  <c r="F3" i="10" s="1"/>
  <c r="I4" i="9"/>
  <c r="K4" i="9" s="1"/>
  <c r="F4" i="9"/>
  <c r="E4" i="9"/>
  <c r="C4" i="9"/>
  <c r="F4" i="8"/>
  <c r="I4" i="8"/>
  <c r="K4" i="8" s="1"/>
  <c r="E4" i="8"/>
  <c r="C4" i="8"/>
  <c r="F4" i="7"/>
  <c r="I4" i="7"/>
  <c r="K4" i="7" s="1"/>
  <c r="E4" i="7"/>
  <c r="C4" i="7"/>
  <c r="K4" i="6"/>
  <c r="J4" i="6"/>
  <c r="I4" i="6"/>
  <c r="F4" i="6"/>
  <c r="E4" i="6"/>
  <c r="C4" i="6"/>
  <c r="F4" i="4"/>
  <c r="E4" i="4"/>
  <c r="I4" i="4"/>
  <c r="K4" i="4" s="1"/>
  <c r="I4" i="5"/>
  <c r="K4" i="5" s="1"/>
  <c r="F4" i="5"/>
  <c r="E4" i="5"/>
  <c r="C4" i="5"/>
  <c r="C4" i="3"/>
  <c r="K6" i="2"/>
  <c r="K7" i="2"/>
  <c r="K8" i="2"/>
  <c r="K10" i="2"/>
  <c r="K11" i="2"/>
  <c r="K14" i="2"/>
  <c r="K15" i="2"/>
  <c r="K16" i="2"/>
  <c r="K18" i="2"/>
  <c r="K19" i="2"/>
  <c r="K20" i="2"/>
  <c r="K22" i="2"/>
  <c r="K23" i="2"/>
  <c r="K24" i="2"/>
  <c r="K27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5" i="2"/>
  <c r="I5" i="2"/>
  <c r="C4" i="4"/>
  <c r="G4" i="3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29" i="2"/>
  <c r="I27" i="2"/>
  <c r="I6" i="2"/>
  <c r="I7" i="2"/>
  <c r="I8" i="2"/>
  <c r="I10" i="2"/>
  <c r="I11" i="2"/>
  <c r="I14" i="2"/>
  <c r="I15" i="2"/>
  <c r="L15" i="2" s="1"/>
  <c r="I16" i="2"/>
  <c r="I18" i="2"/>
  <c r="I19" i="2"/>
  <c r="I20" i="2"/>
  <c r="I22" i="2"/>
  <c r="I23" i="2"/>
  <c r="I24" i="2"/>
  <c r="W8" i="2"/>
  <c r="X5" i="2"/>
  <c r="V5" i="2"/>
  <c r="W5" i="2" s="1"/>
  <c r="U6" i="1"/>
  <c r="L4" i="6" s="1"/>
  <c r="E13" i="2" l="1"/>
  <c r="F13" i="2"/>
  <c r="G13" i="2"/>
  <c r="H13" i="2"/>
  <c r="J13" i="2"/>
  <c r="O13" i="2"/>
  <c r="M13" i="2"/>
  <c r="N13" i="2"/>
  <c r="R13" i="2"/>
  <c r="Q13" i="2"/>
  <c r="P13" i="2"/>
  <c r="E21" i="2"/>
  <c r="R21" i="2"/>
  <c r="F21" i="2"/>
  <c r="G21" i="2"/>
  <c r="H21" i="2"/>
  <c r="J21" i="2"/>
  <c r="P21" i="2"/>
  <c r="Q21" i="2"/>
  <c r="N21" i="2"/>
  <c r="M21" i="2"/>
  <c r="O21" i="2"/>
  <c r="L5" i="2"/>
  <c r="L41" i="2"/>
  <c r="N41" i="2" s="1"/>
  <c r="E28" i="2"/>
  <c r="F28" i="2"/>
  <c r="H28" i="2"/>
  <c r="G28" i="2"/>
  <c r="P28" i="2"/>
  <c r="R28" i="2"/>
  <c r="M28" i="2"/>
  <c r="O28" i="2"/>
  <c r="N28" i="2"/>
  <c r="J28" i="2"/>
  <c r="Q28" i="2"/>
  <c r="L33" i="2"/>
  <c r="M33" i="2" s="1"/>
  <c r="L22" i="2"/>
  <c r="L10" i="2"/>
  <c r="N10" i="2" s="1"/>
  <c r="E26" i="2"/>
  <c r="F26" i="2"/>
  <c r="G26" i="2"/>
  <c r="H26" i="2"/>
  <c r="J26" i="2"/>
  <c r="O26" i="2"/>
  <c r="R26" i="2"/>
  <c r="P26" i="2"/>
  <c r="Q26" i="2"/>
  <c r="N26" i="2"/>
  <c r="M26" i="2"/>
  <c r="E25" i="2"/>
  <c r="F25" i="2"/>
  <c r="G25" i="2"/>
  <c r="H25" i="2"/>
  <c r="O25" i="2"/>
  <c r="Q25" i="2"/>
  <c r="P25" i="2"/>
  <c r="J25" i="2"/>
  <c r="R25" i="2"/>
  <c r="M25" i="2"/>
  <c r="N25" i="2"/>
  <c r="E17" i="2"/>
  <c r="R17" i="2"/>
  <c r="F17" i="2"/>
  <c r="G17" i="2"/>
  <c r="H17" i="2"/>
  <c r="O17" i="2"/>
  <c r="Q17" i="2"/>
  <c r="N17" i="2"/>
  <c r="P17" i="2"/>
  <c r="M17" i="2"/>
  <c r="L42" i="2"/>
  <c r="N42" i="2" s="1"/>
  <c r="L34" i="2"/>
  <c r="M34" i="2" s="1"/>
  <c r="L23" i="2"/>
  <c r="M23" i="2" s="1"/>
  <c r="L11" i="2"/>
  <c r="M11" i="2" s="1"/>
  <c r="L47" i="2"/>
  <c r="M47" i="2" s="1"/>
  <c r="L39" i="2"/>
  <c r="L31" i="2"/>
  <c r="N31" i="2" s="1"/>
  <c r="L19" i="2"/>
  <c r="N19" i="2" s="1"/>
  <c r="L7" i="2"/>
  <c r="N7" i="2" s="1"/>
  <c r="E30" i="2"/>
  <c r="E12" i="2"/>
  <c r="R12" i="2"/>
  <c r="F12" i="2"/>
  <c r="G12" i="2"/>
  <c r="H12" i="2"/>
  <c r="O12" i="2"/>
  <c r="P12" i="2"/>
  <c r="Q12" i="2"/>
  <c r="M12" i="2"/>
  <c r="N12" i="2"/>
  <c r="J12" i="2"/>
  <c r="O43" i="2"/>
  <c r="O35" i="2"/>
  <c r="O24" i="2"/>
  <c r="O14" i="2"/>
  <c r="P46" i="2"/>
  <c r="P38" i="2"/>
  <c r="P30" i="2"/>
  <c r="P18" i="2"/>
  <c r="Q5" i="2"/>
  <c r="Q41" i="2"/>
  <c r="Q33" i="2"/>
  <c r="Q22" i="2"/>
  <c r="Q10" i="2"/>
  <c r="R45" i="2"/>
  <c r="R37" i="2"/>
  <c r="R29" i="2"/>
  <c r="R16" i="2"/>
  <c r="L45" i="2"/>
  <c r="M45" i="2" s="1"/>
  <c r="L37" i="2"/>
  <c r="N37" i="2" s="1"/>
  <c r="O42" i="2"/>
  <c r="O34" i="2"/>
  <c r="O23" i="2"/>
  <c r="O11" i="2"/>
  <c r="P45" i="2"/>
  <c r="P37" i="2"/>
  <c r="P29" i="2"/>
  <c r="P16" i="2"/>
  <c r="Q48" i="2"/>
  <c r="Q40" i="2"/>
  <c r="Q32" i="2"/>
  <c r="Q20" i="2"/>
  <c r="Q8" i="2"/>
  <c r="R44" i="2"/>
  <c r="R36" i="2"/>
  <c r="R27" i="2"/>
  <c r="R15" i="2"/>
  <c r="O48" i="2"/>
  <c r="O40" i="2"/>
  <c r="O32" i="2"/>
  <c r="O20" i="2"/>
  <c r="O8" i="2"/>
  <c r="P43" i="2"/>
  <c r="P35" i="2"/>
  <c r="P24" i="2"/>
  <c r="P14" i="2"/>
  <c r="Q46" i="2"/>
  <c r="Q38" i="2"/>
  <c r="Q30" i="2"/>
  <c r="Q18" i="2"/>
  <c r="H5" i="2"/>
  <c r="R42" i="2"/>
  <c r="R34" i="2"/>
  <c r="R23" i="2"/>
  <c r="R11" i="2"/>
  <c r="L16" i="2"/>
  <c r="O47" i="2"/>
  <c r="O39" i="2"/>
  <c r="O31" i="2"/>
  <c r="O19" i="2"/>
  <c r="O7" i="2"/>
  <c r="P42" i="2"/>
  <c r="P34" i="2"/>
  <c r="P23" i="2"/>
  <c r="P11" i="2"/>
  <c r="Q45" i="2"/>
  <c r="Q37" i="2"/>
  <c r="Q29" i="2"/>
  <c r="Q16" i="2"/>
  <c r="R5" i="2"/>
  <c r="R41" i="2"/>
  <c r="R33" i="2"/>
  <c r="R22" i="2"/>
  <c r="R10" i="2"/>
  <c r="R24" i="2"/>
  <c r="O38" i="2"/>
  <c r="O30" i="2"/>
  <c r="O18" i="2"/>
  <c r="P5" i="2"/>
  <c r="P33" i="2"/>
  <c r="P22" i="2"/>
  <c r="P10" i="2"/>
  <c r="Q44" i="2"/>
  <c r="Q36" i="2"/>
  <c r="Q15" i="2"/>
  <c r="R48" i="2"/>
  <c r="R40" i="2"/>
  <c r="R32" i="2"/>
  <c r="R20" i="2"/>
  <c r="R8" i="2"/>
  <c r="O5" i="2"/>
  <c r="O41" i="2"/>
  <c r="O33" i="2"/>
  <c r="O22" i="2"/>
  <c r="O10" i="2"/>
  <c r="P44" i="2"/>
  <c r="P36" i="2"/>
  <c r="P27" i="2"/>
  <c r="P15" i="2"/>
  <c r="Q47" i="2"/>
  <c r="Q39" i="2"/>
  <c r="Q31" i="2"/>
  <c r="Q19" i="2"/>
  <c r="Q7" i="2"/>
  <c r="R43" i="2"/>
  <c r="R35" i="2"/>
  <c r="R14" i="2"/>
  <c r="L29" i="2"/>
  <c r="N29" i="2" s="1"/>
  <c r="O46" i="2"/>
  <c r="P41" i="2"/>
  <c r="Q27" i="2"/>
  <c r="O45" i="2"/>
  <c r="O37" i="2"/>
  <c r="O29" i="2"/>
  <c r="O16" i="2"/>
  <c r="P48" i="2"/>
  <c r="P40" i="2"/>
  <c r="P32" i="2"/>
  <c r="P20" i="2"/>
  <c r="P8" i="2"/>
  <c r="Q43" i="2"/>
  <c r="Q35" i="2"/>
  <c r="Q24" i="2"/>
  <c r="Q14" i="2"/>
  <c r="R47" i="2"/>
  <c r="R39" i="2"/>
  <c r="R31" i="2"/>
  <c r="R19" i="2"/>
  <c r="R7" i="2"/>
  <c r="O44" i="2"/>
  <c r="O36" i="2"/>
  <c r="O27" i="2"/>
  <c r="O15" i="2"/>
  <c r="P47" i="2"/>
  <c r="P39" i="2"/>
  <c r="P31" i="2"/>
  <c r="P19" i="2"/>
  <c r="P7" i="2"/>
  <c r="Q42" i="2"/>
  <c r="Q34" i="2"/>
  <c r="Q23" i="2"/>
  <c r="Q11" i="2"/>
  <c r="R46" i="2"/>
  <c r="R38" i="2"/>
  <c r="R30" i="2"/>
  <c r="R18" i="2"/>
  <c r="O6" i="2"/>
  <c r="Q6" i="2"/>
  <c r="P6" i="2"/>
  <c r="R6" i="2"/>
  <c r="O29" i="10"/>
  <c r="O21" i="10"/>
  <c r="O13" i="10"/>
  <c r="O5" i="10"/>
  <c r="O35" i="10"/>
  <c r="O27" i="10"/>
  <c r="O19" i="10"/>
  <c r="O11" i="10"/>
  <c r="O4" i="10"/>
  <c r="O34" i="10"/>
  <c r="O26" i="10"/>
  <c r="O18" i="10"/>
  <c r="O10" i="10"/>
  <c r="O41" i="10"/>
  <c r="O33" i="10"/>
  <c r="O25" i="10"/>
  <c r="O15" i="10"/>
  <c r="O7" i="10"/>
  <c r="O38" i="10"/>
  <c r="O30" i="10"/>
  <c r="O22" i="10"/>
  <c r="O14" i="10"/>
  <c r="O6" i="10"/>
  <c r="I6" i="10"/>
  <c r="J6" i="10" s="1"/>
  <c r="K6" i="10" s="1"/>
  <c r="N6" i="10" s="1"/>
  <c r="I4" i="10"/>
  <c r="J4" i="10" s="1"/>
  <c r="K4" i="10" s="1"/>
  <c r="N5" i="10"/>
  <c r="L5" i="10"/>
  <c r="M5" i="10" s="1"/>
  <c r="I34" i="10"/>
  <c r="J34" i="10" s="1"/>
  <c r="K34" i="10" s="1"/>
  <c r="I10" i="10"/>
  <c r="J10" i="10" s="1"/>
  <c r="K10" i="10" s="1"/>
  <c r="I26" i="10"/>
  <c r="J26" i="10" s="1"/>
  <c r="K26" i="10" s="1"/>
  <c r="I18" i="10"/>
  <c r="J18" i="10" s="1"/>
  <c r="K18" i="10" s="1"/>
  <c r="I21" i="10"/>
  <c r="J21" i="10" s="1"/>
  <c r="K21" i="10" s="1"/>
  <c r="I29" i="10"/>
  <c r="J29" i="10" s="1"/>
  <c r="K29" i="10" s="1"/>
  <c r="H37" i="10"/>
  <c r="I37" i="10" s="1"/>
  <c r="J37" i="10" s="1"/>
  <c r="K37" i="10" s="1"/>
  <c r="H3" i="10"/>
  <c r="I3" i="10" s="1"/>
  <c r="J3" i="10" s="1"/>
  <c r="K3" i="10" s="1"/>
  <c r="I13" i="10"/>
  <c r="J13" i="10" s="1"/>
  <c r="K13" i="10" s="1"/>
  <c r="H41" i="10"/>
  <c r="I41" i="10" s="1"/>
  <c r="J41" i="10" s="1"/>
  <c r="K41" i="10" s="1"/>
  <c r="H33" i="10"/>
  <c r="I33" i="10" s="1"/>
  <c r="J33" i="10" s="1"/>
  <c r="K33" i="10" s="1"/>
  <c r="H25" i="10"/>
  <c r="I25" i="10" s="1"/>
  <c r="J25" i="10" s="1"/>
  <c r="K25" i="10" s="1"/>
  <c r="H17" i="10"/>
  <c r="I17" i="10" s="1"/>
  <c r="J17" i="10" s="1"/>
  <c r="K17" i="10" s="1"/>
  <c r="H9" i="10"/>
  <c r="I9" i="10" s="1"/>
  <c r="J9" i="10" s="1"/>
  <c r="K9" i="10" s="1"/>
  <c r="H39" i="10"/>
  <c r="I39" i="10" s="1"/>
  <c r="J39" i="10" s="1"/>
  <c r="K39" i="10" s="1"/>
  <c r="H31" i="10"/>
  <c r="I31" i="10" s="1"/>
  <c r="J31" i="10" s="1"/>
  <c r="K31" i="10" s="1"/>
  <c r="H23" i="10"/>
  <c r="I23" i="10" s="1"/>
  <c r="J23" i="10" s="1"/>
  <c r="K23" i="10" s="1"/>
  <c r="H15" i="10"/>
  <c r="I15" i="10" s="1"/>
  <c r="J15" i="10" s="1"/>
  <c r="K15" i="10" s="1"/>
  <c r="H7" i="10"/>
  <c r="I7" i="10" s="1"/>
  <c r="J7" i="10" s="1"/>
  <c r="K7" i="10" s="1"/>
  <c r="I38" i="10"/>
  <c r="J38" i="10" s="1"/>
  <c r="K38" i="10" s="1"/>
  <c r="I30" i="10"/>
  <c r="J30" i="10" s="1"/>
  <c r="K30" i="10" s="1"/>
  <c r="I22" i="10"/>
  <c r="J22" i="10" s="1"/>
  <c r="K22" i="10" s="1"/>
  <c r="I14" i="10"/>
  <c r="J14" i="10" s="1"/>
  <c r="K14" i="10" s="1"/>
  <c r="I36" i="10"/>
  <c r="J36" i="10" s="1"/>
  <c r="K36" i="10" s="1"/>
  <c r="I28" i="10"/>
  <c r="J28" i="10" s="1"/>
  <c r="K28" i="10" s="1"/>
  <c r="I20" i="10"/>
  <c r="J20" i="10" s="1"/>
  <c r="K20" i="10" s="1"/>
  <c r="I12" i="10"/>
  <c r="J12" i="10" s="1"/>
  <c r="K12" i="10" s="1"/>
  <c r="I35" i="10"/>
  <c r="J35" i="10" s="1"/>
  <c r="K35" i="10" s="1"/>
  <c r="I27" i="10"/>
  <c r="J27" i="10" s="1"/>
  <c r="K27" i="10" s="1"/>
  <c r="I19" i="10"/>
  <c r="J19" i="10" s="1"/>
  <c r="K19" i="10" s="1"/>
  <c r="I11" i="10"/>
  <c r="J11" i="10" s="1"/>
  <c r="K11" i="10" s="1"/>
  <c r="I40" i="10"/>
  <c r="J40" i="10" s="1"/>
  <c r="K40" i="10" s="1"/>
  <c r="I32" i="10"/>
  <c r="J32" i="10" s="1"/>
  <c r="K32" i="10" s="1"/>
  <c r="I24" i="10"/>
  <c r="J24" i="10" s="1"/>
  <c r="K24" i="10" s="1"/>
  <c r="I16" i="10"/>
  <c r="J16" i="10" s="1"/>
  <c r="K16" i="10" s="1"/>
  <c r="I8" i="10"/>
  <c r="J8" i="10" s="1"/>
  <c r="K8" i="10" s="1"/>
  <c r="L18" i="2"/>
  <c r="M18" i="2" s="1"/>
  <c r="L6" i="2"/>
  <c r="M6" i="2" s="1"/>
  <c r="L43" i="2"/>
  <c r="N43" i="2" s="1"/>
  <c r="L35" i="2"/>
  <c r="N35" i="2" s="1"/>
  <c r="L44" i="2"/>
  <c r="N44" i="2" s="1"/>
  <c r="L27" i="2"/>
  <c r="N27" i="2" s="1"/>
  <c r="M15" i="2"/>
  <c r="L36" i="2"/>
  <c r="N36" i="2" s="1"/>
  <c r="L24" i="2"/>
  <c r="N24" i="2" s="1"/>
  <c r="L14" i="2"/>
  <c r="N14" i="2" s="1"/>
  <c r="L48" i="2"/>
  <c r="N48" i="2" s="1"/>
  <c r="L40" i="2"/>
  <c r="N40" i="2" s="1"/>
  <c r="L32" i="2"/>
  <c r="N32" i="2" s="1"/>
  <c r="N5" i="2"/>
  <c r="N16" i="2"/>
  <c r="L46" i="2"/>
  <c r="N46" i="2" s="1"/>
  <c r="L38" i="2"/>
  <c r="N38" i="2" s="1"/>
  <c r="L30" i="2"/>
  <c r="N30" i="2" s="1"/>
  <c r="N33" i="2"/>
  <c r="N22" i="2"/>
  <c r="L20" i="2"/>
  <c r="N20" i="2" s="1"/>
  <c r="L8" i="2"/>
  <c r="M8" i="2" s="1"/>
  <c r="N47" i="2"/>
  <c r="N39" i="2"/>
  <c r="M5" i="2"/>
  <c r="G4" i="7"/>
  <c r="H4" i="7" s="1"/>
  <c r="G4" i="4"/>
  <c r="G4" i="6"/>
  <c r="H4" i="6" s="1"/>
  <c r="L4" i="8"/>
  <c r="M4" i="8" s="1"/>
  <c r="G4" i="9"/>
  <c r="H4" i="9" s="1"/>
  <c r="G4" i="8"/>
  <c r="L4" i="9"/>
  <c r="J4" i="9"/>
  <c r="H4" i="8"/>
  <c r="J4" i="8"/>
  <c r="J4" i="7"/>
  <c r="L4" i="7" s="1"/>
  <c r="H4" i="4"/>
  <c r="J4" i="4"/>
  <c r="L4" i="4" s="1"/>
  <c r="G4" i="5"/>
  <c r="H4" i="5" s="1"/>
  <c r="L4" i="5"/>
  <c r="J4" i="5"/>
  <c r="J11" i="2"/>
  <c r="J44" i="2"/>
  <c r="J15" i="2"/>
  <c r="J43" i="2"/>
  <c r="J35" i="2"/>
  <c r="J24" i="2"/>
  <c r="J14" i="2"/>
  <c r="J34" i="2"/>
  <c r="J5" i="2"/>
  <c r="J41" i="2"/>
  <c r="J33" i="2"/>
  <c r="J22" i="2"/>
  <c r="J10" i="2"/>
  <c r="J27" i="2"/>
  <c r="J23" i="2"/>
  <c r="J48" i="2"/>
  <c r="J40" i="2"/>
  <c r="J32" i="2"/>
  <c r="J20" i="2"/>
  <c r="J8" i="2"/>
  <c r="J42" i="2"/>
  <c r="J47" i="2"/>
  <c r="J39" i="2"/>
  <c r="J31" i="2"/>
  <c r="J19" i="2"/>
  <c r="J7" i="2"/>
  <c r="J36" i="2"/>
  <c r="J46" i="2"/>
  <c r="J38" i="2"/>
  <c r="J30" i="2"/>
  <c r="J18" i="2"/>
  <c r="J6" i="2"/>
  <c r="J45" i="2"/>
  <c r="J37" i="2"/>
  <c r="J29" i="2"/>
  <c r="J16" i="2"/>
  <c r="H4" i="3"/>
  <c r="E6" i="1"/>
  <c r="E11" i="1" s="1"/>
  <c r="E14" i="1" s="1"/>
  <c r="G6" i="1"/>
  <c r="G11" i="1" s="1"/>
  <c r="G14" i="1" s="1"/>
  <c r="E4" i="3"/>
  <c r="F4" i="3" s="1"/>
  <c r="D6" i="1"/>
  <c r="D11" i="1" s="1"/>
  <c r="D14" i="1" s="1"/>
  <c r="F6" i="1"/>
  <c r="F11" i="1" s="1"/>
  <c r="F14" i="1" s="1"/>
  <c r="E24" i="2"/>
  <c r="F18" i="2"/>
  <c r="H15" i="2"/>
  <c r="F6" i="2"/>
  <c r="H37" i="2"/>
  <c r="G24" i="2"/>
  <c r="F20" i="2"/>
  <c r="H18" i="2"/>
  <c r="E16" i="2"/>
  <c r="G14" i="2"/>
  <c r="F8" i="2"/>
  <c r="H6" i="2"/>
  <c r="H48" i="2"/>
  <c r="F47" i="2"/>
  <c r="H44" i="2"/>
  <c r="F43" i="2"/>
  <c r="H40" i="2"/>
  <c r="F39" i="2"/>
  <c r="H36" i="2"/>
  <c r="F35" i="2"/>
  <c r="H32" i="2"/>
  <c r="F31" i="2"/>
  <c r="F24" i="2"/>
  <c r="H22" i="2"/>
  <c r="E20" i="2"/>
  <c r="G18" i="2"/>
  <c r="F14" i="2"/>
  <c r="H10" i="2"/>
  <c r="E8" i="2"/>
  <c r="G6" i="2"/>
  <c r="G48" i="2"/>
  <c r="E47" i="2"/>
  <c r="G44" i="2"/>
  <c r="E43" i="2"/>
  <c r="G40" i="2"/>
  <c r="E39" i="2"/>
  <c r="G36" i="2"/>
  <c r="E35" i="2"/>
  <c r="G32" i="2"/>
  <c r="E31" i="2"/>
  <c r="E5" i="2"/>
  <c r="G22" i="2"/>
  <c r="E14" i="2"/>
  <c r="F44" i="2"/>
  <c r="F36" i="2"/>
  <c r="H19" i="2"/>
  <c r="E18" i="2"/>
  <c r="F10" i="2"/>
  <c r="H7" i="2"/>
  <c r="E6" i="2"/>
  <c r="E48" i="2"/>
  <c r="G45" i="2"/>
  <c r="E40" i="2"/>
  <c r="G37" i="2"/>
  <c r="E32" i="2"/>
  <c r="H27" i="2"/>
  <c r="H46" i="2"/>
  <c r="F45" i="2"/>
  <c r="H42" i="2"/>
  <c r="F41" i="2"/>
  <c r="H38" i="2"/>
  <c r="F37" i="2"/>
  <c r="H34" i="2"/>
  <c r="F33" i="2"/>
  <c r="H30" i="2"/>
  <c r="G10" i="2"/>
  <c r="H29" i="2"/>
  <c r="F48" i="2"/>
  <c r="H45" i="2"/>
  <c r="H41" i="2"/>
  <c r="F40" i="2"/>
  <c r="H33" i="2"/>
  <c r="F32" i="2"/>
  <c r="F5" i="2"/>
  <c r="F22" i="2"/>
  <c r="G15" i="2"/>
  <c r="M22" i="2"/>
  <c r="G29" i="2"/>
  <c r="E44" i="2"/>
  <c r="G41" i="2"/>
  <c r="E36" i="2"/>
  <c r="G33" i="2"/>
  <c r="G5" i="2"/>
  <c r="H23" i="2"/>
  <c r="E22" i="2"/>
  <c r="G19" i="2"/>
  <c r="F15" i="2"/>
  <c r="H11" i="2"/>
  <c r="E10" i="2"/>
  <c r="G7" i="2"/>
  <c r="F29" i="2"/>
  <c r="G23" i="2"/>
  <c r="F19" i="2"/>
  <c r="H16" i="2"/>
  <c r="E15" i="2"/>
  <c r="G11" i="2"/>
  <c r="F7" i="2"/>
  <c r="G27" i="2"/>
  <c r="E29" i="2"/>
  <c r="G46" i="2"/>
  <c r="E45" i="2"/>
  <c r="G42" i="2"/>
  <c r="E41" i="2"/>
  <c r="G38" i="2"/>
  <c r="E37" i="2"/>
  <c r="G34" i="2"/>
  <c r="E33" i="2"/>
  <c r="G30" i="2"/>
  <c r="F23" i="2"/>
  <c r="H20" i="2"/>
  <c r="E19" i="2"/>
  <c r="G16" i="2"/>
  <c r="F11" i="2"/>
  <c r="H8" i="2"/>
  <c r="E7" i="2"/>
  <c r="F27" i="2"/>
  <c r="H47" i="2"/>
  <c r="F46" i="2"/>
  <c r="H43" i="2"/>
  <c r="F42" i="2"/>
  <c r="H39" i="2"/>
  <c r="F38" i="2"/>
  <c r="H35" i="2"/>
  <c r="F34" i="2"/>
  <c r="H31" i="2"/>
  <c r="F30" i="2"/>
  <c r="H24" i="2"/>
  <c r="E23" i="2"/>
  <c r="G20" i="2"/>
  <c r="F16" i="2"/>
  <c r="H14" i="2"/>
  <c r="E11" i="2"/>
  <c r="G8" i="2"/>
  <c r="E27" i="2"/>
  <c r="G47" i="2"/>
  <c r="E46" i="2"/>
  <c r="G43" i="2"/>
  <c r="E42" i="2"/>
  <c r="G39" i="2"/>
  <c r="E38" i="2"/>
  <c r="G35" i="2"/>
  <c r="E34" i="2"/>
  <c r="G31" i="2"/>
  <c r="M43" i="2"/>
  <c r="M41" i="2"/>
  <c r="M39" i="2"/>
  <c r="M16" i="2"/>
  <c r="T9" i="1"/>
  <c r="S6" i="1"/>
  <c r="T6" i="1" s="1"/>
  <c r="M42" i="2" l="1"/>
  <c r="M7" i="2"/>
  <c r="M48" i="2"/>
  <c r="N11" i="2"/>
  <c r="M10" i="2"/>
  <c r="M31" i="2"/>
  <c r="M35" i="2"/>
  <c r="N45" i="2"/>
  <c r="M27" i="2"/>
  <c r="M37" i="2"/>
  <c r="M19" i="2"/>
  <c r="M29" i="2"/>
  <c r="N23" i="2"/>
  <c r="N18" i="2"/>
  <c r="N34" i="2"/>
  <c r="M14" i="2"/>
  <c r="M24" i="2"/>
  <c r="M30" i="2"/>
  <c r="M44" i="2"/>
  <c r="M40" i="2"/>
  <c r="N6" i="2"/>
  <c r="O23" i="10"/>
  <c r="O39" i="10"/>
  <c r="O37" i="10"/>
  <c r="O9" i="10"/>
  <c r="O31" i="10"/>
  <c r="O3" i="10"/>
  <c r="O17" i="10"/>
  <c r="L6" i="10"/>
  <c r="M6" i="10" s="1"/>
  <c r="L4" i="10"/>
  <c r="M4" i="10" s="1"/>
  <c r="N4" i="10"/>
  <c r="L20" i="10"/>
  <c r="M20" i="10" s="1"/>
  <c r="N20" i="10"/>
  <c r="L10" i="10"/>
  <c r="M10" i="10" s="1"/>
  <c r="N10" i="10"/>
  <c r="L32" i="10"/>
  <c r="M32" i="10" s="1"/>
  <c r="N32" i="10"/>
  <c r="L23" i="10"/>
  <c r="M23" i="10" s="1"/>
  <c r="N23" i="10"/>
  <c r="L40" i="10"/>
  <c r="M40" i="10" s="1"/>
  <c r="N40" i="10"/>
  <c r="L36" i="10"/>
  <c r="M36" i="10" s="1"/>
  <c r="N36" i="10"/>
  <c r="L3" i="10"/>
  <c r="M3" i="10" s="1"/>
  <c r="N3" i="10"/>
  <c r="L11" i="10"/>
  <c r="M11" i="10" s="1"/>
  <c r="N11" i="10"/>
  <c r="L14" i="10"/>
  <c r="M14" i="10" s="1"/>
  <c r="N14" i="10"/>
  <c r="L39" i="10"/>
  <c r="M39" i="10" s="1"/>
  <c r="N39" i="10"/>
  <c r="L37" i="10"/>
  <c r="M37" i="10" s="1"/>
  <c r="N37" i="10"/>
  <c r="L41" i="10"/>
  <c r="M41" i="10" s="1"/>
  <c r="N41" i="10"/>
  <c r="L28" i="10"/>
  <c r="M28" i="10" s="1"/>
  <c r="N28" i="10"/>
  <c r="L13" i="10"/>
  <c r="M13" i="10" s="1"/>
  <c r="N13" i="10"/>
  <c r="L31" i="10"/>
  <c r="M31" i="10" s="1"/>
  <c r="N31" i="10"/>
  <c r="L19" i="10"/>
  <c r="M19" i="10" s="1"/>
  <c r="N19" i="10"/>
  <c r="L22" i="10"/>
  <c r="M22" i="10" s="1"/>
  <c r="N22" i="10"/>
  <c r="L9" i="10"/>
  <c r="M9" i="10" s="1"/>
  <c r="N9" i="10"/>
  <c r="L29" i="10"/>
  <c r="M29" i="10" s="1"/>
  <c r="N29" i="10"/>
  <c r="L27" i="10"/>
  <c r="M27" i="10" s="1"/>
  <c r="N27" i="10"/>
  <c r="L35" i="10"/>
  <c r="M35" i="10" s="1"/>
  <c r="N35" i="10"/>
  <c r="L24" i="10"/>
  <c r="M24" i="10" s="1"/>
  <c r="N24" i="10"/>
  <c r="L30" i="10"/>
  <c r="M30" i="10" s="1"/>
  <c r="N30" i="10"/>
  <c r="L17" i="10"/>
  <c r="M17" i="10" s="1"/>
  <c r="N17" i="10"/>
  <c r="L21" i="10"/>
  <c r="M21" i="10" s="1"/>
  <c r="N21" i="10"/>
  <c r="L8" i="10"/>
  <c r="M8" i="10" s="1"/>
  <c r="N8" i="10"/>
  <c r="L38" i="10"/>
  <c r="M38" i="10" s="1"/>
  <c r="N38" i="10"/>
  <c r="L25" i="10"/>
  <c r="M25" i="10" s="1"/>
  <c r="N25" i="10"/>
  <c r="L18" i="10"/>
  <c r="M18" i="10" s="1"/>
  <c r="N18" i="10"/>
  <c r="L16" i="10"/>
  <c r="M16" i="10" s="1"/>
  <c r="N16" i="10"/>
  <c r="L12" i="10"/>
  <c r="M12" i="10" s="1"/>
  <c r="N12" i="10"/>
  <c r="L7" i="10"/>
  <c r="M7" i="10" s="1"/>
  <c r="N7" i="10"/>
  <c r="L33" i="10"/>
  <c r="M33" i="10" s="1"/>
  <c r="N33" i="10"/>
  <c r="L26" i="10"/>
  <c r="M26" i="10" s="1"/>
  <c r="N26" i="10"/>
  <c r="L15" i="10"/>
  <c r="M15" i="10" s="1"/>
  <c r="N15" i="10"/>
  <c r="L34" i="10"/>
  <c r="M34" i="10" s="1"/>
  <c r="N34" i="10"/>
  <c r="N15" i="2"/>
  <c r="M36" i="2"/>
  <c r="N8" i="2"/>
  <c r="M32" i="2"/>
  <c r="M20" i="2"/>
  <c r="M38" i="2"/>
  <c r="M46" i="2"/>
  <c r="M4" i="6"/>
  <c r="N4" i="6" s="1"/>
  <c r="D5" i="6" s="1"/>
  <c r="M4" i="7"/>
  <c r="N4" i="7" s="1"/>
  <c r="D5" i="7" s="1"/>
  <c r="F5" i="7" s="1"/>
  <c r="M4" i="9"/>
  <c r="N4" i="9" s="1"/>
  <c r="D5" i="9" s="1"/>
  <c r="E5" i="9" s="1"/>
  <c r="M4" i="4"/>
  <c r="N4" i="4" s="1"/>
  <c r="D5" i="4" s="1"/>
  <c r="I4" i="3"/>
  <c r="J4" i="3" s="1"/>
  <c r="D5" i="3" s="1"/>
  <c r="G5" i="3" s="1"/>
  <c r="H5" i="3" s="1"/>
  <c r="N4" i="8"/>
  <c r="D5" i="8" s="1"/>
  <c r="F5" i="8" s="1"/>
  <c r="M4" i="5"/>
  <c r="N4" i="5" s="1"/>
  <c r="D5" i="5" s="1"/>
  <c r="I5" i="5" s="1"/>
  <c r="F5" i="6" l="1"/>
  <c r="E5" i="6"/>
  <c r="I5" i="6"/>
  <c r="K5" i="6" s="1"/>
  <c r="F5" i="9"/>
  <c r="G5" i="9" s="1"/>
  <c r="H5" i="9" s="1"/>
  <c r="I5" i="9"/>
  <c r="J5" i="9" s="1"/>
  <c r="E5" i="7"/>
  <c r="G5" i="7" s="1"/>
  <c r="H5" i="7" s="1"/>
  <c r="I5" i="7"/>
  <c r="K5" i="7" s="1"/>
  <c r="E5" i="8"/>
  <c r="I5" i="8"/>
  <c r="K5" i="8" s="1"/>
  <c r="I5" i="4"/>
  <c r="F5" i="4"/>
  <c r="E5" i="4"/>
  <c r="F5" i="5"/>
  <c r="E5" i="5"/>
  <c r="K5" i="5"/>
  <c r="J5" i="5"/>
  <c r="E5" i="3"/>
  <c r="F5" i="3" s="1"/>
  <c r="G5" i="6" l="1"/>
  <c r="H5" i="6" s="1"/>
  <c r="J5" i="6"/>
  <c r="L5" i="6" s="1"/>
  <c r="K5" i="9"/>
  <c r="L5" i="9" s="1"/>
  <c r="M5" i="9" s="1"/>
  <c r="N5" i="9" s="1"/>
  <c r="D6" i="9" s="1"/>
  <c r="J5" i="7"/>
  <c r="L5" i="7" s="1"/>
  <c r="M5" i="7" s="1"/>
  <c r="N5" i="7" s="1"/>
  <c r="D6" i="7" s="1"/>
  <c r="F6" i="7" s="1"/>
  <c r="G5" i="5"/>
  <c r="H5" i="5" s="1"/>
  <c r="G5" i="8"/>
  <c r="H5" i="8" s="1"/>
  <c r="J5" i="8"/>
  <c r="G5" i="4"/>
  <c r="H5" i="4" s="1"/>
  <c r="K5" i="4"/>
  <c r="J5" i="4"/>
  <c r="L5" i="5"/>
  <c r="I5" i="3"/>
  <c r="J5" i="3" s="1"/>
  <c r="D6" i="3" s="1"/>
  <c r="M5" i="6" l="1"/>
  <c r="N5" i="6" s="1"/>
  <c r="D6" i="6" s="1"/>
  <c r="M5" i="5"/>
  <c r="N5" i="5" s="1"/>
  <c r="D6" i="5" s="1"/>
  <c r="F6" i="5" s="1"/>
  <c r="F6" i="9"/>
  <c r="I6" i="9"/>
  <c r="J6" i="9" s="1"/>
  <c r="E6" i="9"/>
  <c r="L5" i="8"/>
  <c r="M5" i="8" s="1"/>
  <c r="N5" i="8" s="1"/>
  <c r="D6" i="8" s="1"/>
  <c r="I6" i="7"/>
  <c r="K6" i="7" s="1"/>
  <c r="E6" i="7"/>
  <c r="L5" i="4"/>
  <c r="M5" i="4" s="1"/>
  <c r="E6" i="3"/>
  <c r="F6" i="3" s="1"/>
  <c r="G6" i="3"/>
  <c r="H6" i="3" s="1"/>
  <c r="F6" i="6" l="1"/>
  <c r="I6" i="6"/>
  <c r="K6" i="6" s="1"/>
  <c r="E6" i="6"/>
  <c r="I6" i="5"/>
  <c r="J6" i="5" s="1"/>
  <c r="E6" i="5"/>
  <c r="G6" i="5" s="1"/>
  <c r="H6" i="5" s="1"/>
  <c r="K6" i="9"/>
  <c r="L6" i="9" s="1"/>
  <c r="G6" i="9"/>
  <c r="H6" i="9" s="1"/>
  <c r="F6" i="8"/>
  <c r="E6" i="8"/>
  <c r="I6" i="8"/>
  <c r="J6" i="7"/>
  <c r="G6" i="7"/>
  <c r="H6" i="7" s="1"/>
  <c r="N5" i="4"/>
  <c r="D6" i="4" s="1"/>
  <c r="I6" i="3"/>
  <c r="J6" i="3" s="1"/>
  <c r="D7" i="3" s="1"/>
  <c r="J6" i="6" l="1"/>
  <c r="L6" i="6" s="1"/>
  <c r="G6" i="6"/>
  <c r="H6" i="6" s="1"/>
  <c r="K6" i="5"/>
  <c r="L6" i="5" s="1"/>
  <c r="M6" i="5" s="1"/>
  <c r="N6" i="5" s="1"/>
  <c r="D7" i="5" s="1"/>
  <c r="E7" i="5" s="1"/>
  <c r="M6" i="9"/>
  <c r="N6" i="9" s="1"/>
  <c r="D7" i="9" s="1"/>
  <c r="E7" i="9" s="1"/>
  <c r="K6" i="8"/>
  <c r="J6" i="8"/>
  <c r="G6" i="8"/>
  <c r="H6" i="8" s="1"/>
  <c r="L6" i="7"/>
  <c r="M6" i="7" s="1"/>
  <c r="N6" i="7" s="1"/>
  <c r="D7" i="7" s="1"/>
  <c r="F7" i="7" s="1"/>
  <c r="F6" i="4"/>
  <c r="I6" i="4"/>
  <c r="E6" i="4"/>
  <c r="G7" i="3"/>
  <c r="H7" i="3" s="1"/>
  <c r="E7" i="3"/>
  <c r="F7" i="3" s="1"/>
  <c r="M6" i="6" l="1"/>
  <c r="N6" i="6" s="1"/>
  <c r="D7" i="6" s="1"/>
  <c r="F7" i="6" s="1"/>
  <c r="I7" i="9"/>
  <c r="K7" i="9" s="1"/>
  <c r="F7" i="9"/>
  <c r="G7" i="9" s="1"/>
  <c r="H7" i="9" s="1"/>
  <c r="G6" i="4"/>
  <c r="H6" i="4" s="1"/>
  <c r="L6" i="8"/>
  <c r="M6" i="8" s="1"/>
  <c r="N6" i="8" s="1"/>
  <c r="D7" i="8" s="1"/>
  <c r="I7" i="7"/>
  <c r="K7" i="7" s="1"/>
  <c r="E7" i="7"/>
  <c r="J6" i="4"/>
  <c r="K6" i="4"/>
  <c r="F7" i="5"/>
  <c r="G7" i="5" s="1"/>
  <c r="H7" i="5" s="1"/>
  <c r="I7" i="5"/>
  <c r="K7" i="5" s="1"/>
  <c r="I7" i="3"/>
  <c r="J7" i="3" s="1"/>
  <c r="D8" i="3" s="1"/>
  <c r="I7" i="6" l="1"/>
  <c r="K7" i="6" s="1"/>
  <c r="E7" i="6"/>
  <c r="G7" i="6" s="1"/>
  <c r="H7" i="6" s="1"/>
  <c r="J7" i="9"/>
  <c r="L7" i="9" s="1"/>
  <c r="M7" i="9" s="1"/>
  <c r="N7" i="9" s="1"/>
  <c r="D8" i="9" s="1"/>
  <c r="L6" i="4"/>
  <c r="M6" i="4" s="1"/>
  <c r="N6" i="4" s="1"/>
  <c r="D7" i="4" s="1"/>
  <c r="I7" i="4" s="1"/>
  <c r="I7" i="8"/>
  <c r="E7" i="8"/>
  <c r="F7" i="8"/>
  <c r="G7" i="7"/>
  <c r="H7" i="7" s="1"/>
  <c r="J7" i="7"/>
  <c r="J7" i="5"/>
  <c r="L7" i="5" s="1"/>
  <c r="M7" i="5" s="1"/>
  <c r="N7" i="5" s="1"/>
  <c r="D8" i="5" s="1"/>
  <c r="G8" i="3"/>
  <c r="H8" i="3" s="1"/>
  <c r="E8" i="3"/>
  <c r="F8" i="3" s="1"/>
  <c r="J7" i="6" l="1"/>
  <c r="L7" i="6" s="1"/>
  <c r="M7" i="6" s="1"/>
  <c r="N7" i="6" s="1"/>
  <c r="D8" i="6" s="1"/>
  <c r="F8" i="6" s="1"/>
  <c r="I8" i="9"/>
  <c r="E8" i="9"/>
  <c r="F8" i="9"/>
  <c r="G7" i="8"/>
  <c r="H7" i="8" s="1"/>
  <c r="K7" i="8"/>
  <c r="J7" i="8"/>
  <c r="L7" i="7"/>
  <c r="M7" i="7" s="1"/>
  <c r="N7" i="7" s="1"/>
  <c r="D8" i="7" s="1"/>
  <c r="F8" i="7" s="1"/>
  <c r="J7" i="4"/>
  <c r="K7" i="4"/>
  <c r="F7" i="4"/>
  <c r="E7" i="4"/>
  <c r="F8" i="5"/>
  <c r="I8" i="5"/>
  <c r="E8" i="5"/>
  <c r="I8" i="3"/>
  <c r="J8" i="3" s="1"/>
  <c r="D9" i="3" s="1"/>
  <c r="E8" i="6" l="1"/>
  <c r="G8" i="6" s="1"/>
  <c r="H8" i="6" s="1"/>
  <c r="G8" i="9"/>
  <c r="H8" i="9" s="1"/>
  <c r="K8" i="9"/>
  <c r="J8" i="9"/>
  <c r="L7" i="8"/>
  <c r="M7" i="8" s="1"/>
  <c r="N7" i="8" s="1"/>
  <c r="D8" i="8" s="1"/>
  <c r="E8" i="7"/>
  <c r="I8" i="7"/>
  <c r="K8" i="7" s="1"/>
  <c r="I8" i="6"/>
  <c r="K8" i="6" s="1"/>
  <c r="L7" i="4"/>
  <c r="G7" i="4"/>
  <c r="H7" i="4" s="1"/>
  <c r="K8" i="5"/>
  <c r="J8" i="5"/>
  <c r="G8" i="5"/>
  <c r="H8" i="5" s="1"/>
  <c r="G9" i="3"/>
  <c r="H9" i="3" s="1"/>
  <c r="E9" i="3"/>
  <c r="F9" i="3" s="1"/>
  <c r="L8" i="9" l="1"/>
  <c r="M8" i="9" s="1"/>
  <c r="N8" i="9" s="1"/>
  <c r="D9" i="9" s="1"/>
  <c r="E8" i="8"/>
  <c r="F8" i="8"/>
  <c r="I8" i="8"/>
  <c r="J8" i="7"/>
  <c r="G8" i="7"/>
  <c r="H8" i="7" s="1"/>
  <c r="J8" i="6"/>
  <c r="L8" i="6" s="1"/>
  <c r="M8" i="6" s="1"/>
  <c r="N8" i="6" s="1"/>
  <c r="D9" i="6" s="1"/>
  <c r="M7" i="4"/>
  <c r="N7" i="4" s="1"/>
  <c r="D8" i="4" s="1"/>
  <c r="L8" i="5"/>
  <c r="M8" i="5" s="1"/>
  <c r="N8" i="5" s="1"/>
  <c r="D9" i="5" s="1"/>
  <c r="I9" i="3"/>
  <c r="J9" i="3" s="1"/>
  <c r="D10" i="3" s="1"/>
  <c r="I9" i="9" l="1"/>
  <c r="F9" i="9"/>
  <c r="E9" i="9"/>
  <c r="G8" i="8"/>
  <c r="H8" i="8" s="1"/>
  <c r="K8" i="8"/>
  <c r="J8" i="8"/>
  <c r="L8" i="7"/>
  <c r="M8" i="7" s="1"/>
  <c r="N8" i="7" s="1"/>
  <c r="D9" i="7" s="1"/>
  <c r="F9" i="7" s="1"/>
  <c r="E9" i="6"/>
  <c r="F9" i="6"/>
  <c r="F8" i="4"/>
  <c r="I8" i="4"/>
  <c r="E8" i="4"/>
  <c r="E9" i="5"/>
  <c r="I9" i="5"/>
  <c r="F9" i="5"/>
  <c r="G10" i="3"/>
  <c r="H10" i="3" s="1"/>
  <c r="E10" i="3"/>
  <c r="F10" i="3" s="1"/>
  <c r="G9" i="6" l="1"/>
  <c r="H9" i="6" s="1"/>
  <c r="G9" i="9"/>
  <c r="H9" i="9" s="1"/>
  <c r="J9" i="9"/>
  <c r="K9" i="9"/>
  <c r="G8" i="4"/>
  <c r="H8" i="4" s="1"/>
  <c r="L8" i="8"/>
  <c r="M8" i="8" s="1"/>
  <c r="N8" i="8" s="1"/>
  <c r="D9" i="8" s="1"/>
  <c r="E9" i="7"/>
  <c r="I9" i="7"/>
  <c r="K9" i="7" s="1"/>
  <c r="I9" i="6"/>
  <c r="K9" i="6" s="1"/>
  <c r="J8" i="4"/>
  <c r="K8" i="4"/>
  <c r="G9" i="5"/>
  <c r="H9" i="5" s="1"/>
  <c r="K9" i="5"/>
  <c r="J9" i="5"/>
  <c r="I10" i="3"/>
  <c r="J10" i="3" s="1"/>
  <c r="D11" i="3" s="1"/>
  <c r="E11" i="3" s="1"/>
  <c r="F11" i="3" s="1"/>
  <c r="L9" i="9" l="1"/>
  <c r="M9" i="9" s="1"/>
  <c r="N9" i="9" s="1"/>
  <c r="D10" i="9" s="1"/>
  <c r="F9" i="8"/>
  <c r="I9" i="8"/>
  <c r="E9" i="8"/>
  <c r="J9" i="7"/>
  <c r="G9" i="7"/>
  <c r="H9" i="7" s="1"/>
  <c r="J9" i="6"/>
  <c r="L9" i="6" s="1"/>
  <c r="M9" i="6" s="1"/>
  <c r="N9" i="6" s="1"/>
  <c r="D10" i="6" s="1"/>
  <c r="L8" i="4"/>
  <c r="M8" i="4" s="1"/>
  <c r="N8" i="4" s="1"/>
  <c r="D9" i="4" s="1"/>
  <c r="L9" i="5"/>
  <c r="M9" i="5" s="1"/>
  <c r="N9" i="5" s="1"/>
  <c r="D10" i="5" s="1"/>
  <c r="G11" i="3"/>
  <c r="H11" i="3" s="1"/>
  <c r="I11" i="3" s="1"/>
  <c r="J11" i="3" s="1"/>
  <c r="D12" i="3" s="1"/>
  <c r="F10" i="9" l="1"/>
  <c r="E10" i="9"/>
  <c r="I10" i="9"/>
  <c r="K9" i="8"/>
  <c r="J9" i="8"/>
  <c r="G9" i="8"/>
  <c r="H9" i="8" s="1"/>
  <c r="L9" i="7"/>
  <c r="M9" i="7" s="1"/>
  <c r="N9" i="7" s="1"/>
  <c r="D10" i="7" s="1"/>
  <c r="F10" i="7" s="1"/>
  <c r="E10" i="6"/>
  <c r="F10" i="6"/>
  <c r="F9" i="4"/>
  <c r="I9" i="4"/>
  <c r="E9" i="4"/>
  <c r="I10" i="5"/>
  <c r="F10" i="5"/>
  <c r="E10" i="5"/>
  <c r="G12" i="3"/>
  <c r="H12" i="3" s="1"/>
  <c r="E12" i="3"/>
  <c r="F12" i="3" s="1"/>
  <c r="G10" i="9" l="1"/>
  <c r="H10" i="9" s="1"/>
  <c r="K10" i="9"/>
  <c r="J10" i="9"/>
  <c r="L9" i="8"/>
  <c r="M9" i="8" s="1"/>
  <c r="N9" i="8" s="1"/>
  <c r="D10" i="8" s="1"/>
  <c r="I10" i="7"/>
  <c r="K10" i="7" s="1"/>
  <c r="E10" i="7"/>
  <c r="G10" i="6"/>
  <c r="H10" i="6" s="1"/>
  <c r="I10" i="6"/>
  <c r="K10" i="6" s="1"/>
  <c r="J9" i="4"/>
  <c r="K9" i="4"/>
  <c r="G9" i="4"/>
  <c r="H9" i="4" s="1"/>
  <c r="J10" i="5"/>
  <c r="K10" i="5"/>
  <c r="G10" i="5"/>
  <c r="H10" i="5" s="1"/>
  <c r="I12" i="3"/>
  <c r="J12" i="3" s="1"/>
  <c r="D13" i="3" s="1"/>
  <c r="E13" i="3" s="1"/>
  <c r="F13" i="3" s="1"/>
  <c r="L10" i="9" l="1"/>
  <c r="M10" i="9" s="1"/>
  <c r="N10" i="9" s="1"/>
  <c r="D11" i="9" s="1"/>
  <c r="L9" i="4"/>
  <c r="M9" i="4" s="1"/>
  <c r="N9" i="4" s="1"/>
  <c r="D10" i="4" s="1"/>
  <c r="J10" i="6"/>
  <c r="L10" i="6" s="1"/>
  <c r="M10" i="6" s="1"/>
  <c r="E10" i="8"/>
  <c r="I10" i="8"/>
  <c r="F10" i="8"/>
  <c r="G10" i="7"/>
  <c r="H10" i="7" s="1"/>
  <c r="J10" i="7"/>
  <c r="L10" i="5"/>
  <c r="M10" i="5" s="1"/>
  <c r="N10" i="5" s="1"/>
  <c r="D11" i="5" s="1"/>
  <c r="G13" i="3"/>
  <c r="H13" i="3" s="1"/>
  <c r="I13" i="3" s="1"/>
  <c r="J13" i="3" s="1"/>
  <c r="D14" i="3" s="1"/>
  <c r="I11" i="9" l="1"/>
  <c r="F11" i="9"/>
  <c r="E11" i="9"/>
  <c r="G10" i="8"/>
  <c r="H10" i="8" s="1"/>
  <c r="K10" i="8"/>
  <c r="J10" i="8"/>
  <c r="L10" i="7"/>
  <c r="M10" i="7" s="1"/>
  <c r="N10" i="7" s="1"/>
  <c r="D11" i="7" s="1"/>
  <c r="F11" i="7" s="1"/>
  <c r="N10" i="6"/>
  <c r="D11" i="6" s="1"/>
  <c r="F10" i="4"/>
  <c r="I10" i="4"/>
  <c r="E10" i="4"/>
  <c r="E11" i="5"/>
  <c r="I11" i="5"/>
  <c r="J11" i="5" s="1"/>
  <c r="F11" i="5"/>
  <c r="G14" i="3"/>
  <c r="H14" i="3" s="1"/>
  <c r="E14" i="3"/>
  <c r="F14" i="3" s="1"/>
  <c r="G11" i="9" l="1"/>
  <c r="H11" i="9" s="1"/>
  <c r="K11" i="9"/>
  <c r="J11" i="9"/>
  <c r="L10" i="8"/>
  <c r="M10" i="8" s="1"/>
  <c r="N10" i="8" s="1"/>
  <c r="D11" i="8" s="1"/>
  <c r="E11" i="7"/>
  <c r="G11" i="7" s="1"/>
  <c r="H11" i="7" s="1"/>
  <c r="I11" i="7"/>
  <c r="K11" i="7" s="1"/>
  <c r="E11" i="6"/>
  <c r="F11" i="6"/>
  <c r="I11" i="6"/>
  <c r="K11" i="6" s="1"/>
  <c r="K11" i="5"/>
  <c r="L11" i="5" s="1"/>
  <c r="G10" i="4"/>
  <c r="H10" i="4" s="1"/>
  <c r="J10" i="4"/>
  <c r="K10" i="4"/>
  <c r="G11" i="5"/>
  <c r="H11" i="5" s="1"/>
  <c r="I14" i="3"/>
  <c r="J14" i="3" s="1"/>
  <c r="D15" i="3" s="1"/>
  <c r="L11" i="9" l="1"/>
  <c r="M11" i="9" s="1"/>
  <c r="N11" i="9" s="1"/>
  <c r="D12" i="9" s="1"/>
  <c r="J11" i="7"/>
  <c r="L11" i="7" s="1"/>
  <c r="M11" i="7" s="1"/>
  <c r="N11" i="7" s="1"/>
  <c r="D12" i="7" s="1"/>
  <c r="F12" i="7" s="1"/>
  <c r="J11" i="6"/>
  <c r="L11" i="6" s="1"/>
  <c r="G11" i="6"/>
  <c r="H11" i="6" s="1"/>
  <c r="I11" i="8"/>
  <c r="F11" i="8"/>
  <c r="E11" i="8"/>
  <c r="L10" i="4"/>
  <c r="M10" i="4" s="1"/>
  <c r="M11" i="5"/>
  <c r="N11" i="5" s="1"/>
  <c r="D12" i="5" s="1"/>
  <c r="F12" i="5" s="1"/>
  <c r="E15" i="3"/>
  <c r="F15" i="3" s="1"/>
  <c r="G15" i="3"/>
  <c r="H15" i="3" s="1"/>
  <c r="E12" i="9" l="1"/>
  <c r="I12" i="9"/>
  <c r="F12" i="9"/>
  <c r="M11" i="6"/>
  <c r="N11" i="6" s="1"/>
  <c r="D12" i="6" s="1"/>
  <c r="F12" i="6" s="1"/>
  <c r="G11" i="8"/>
  <c r="H11" i="8" s="1"/>
  <c r="K11" i="8"/>
  <c r="J11" i="8"/>
  <c r="I12" i="7"/>
  <c r="K12" i="7" s="1"/>
  <c r="E12" i="7"/>
  <c r="N10" i="4"/>
  <c r="D11" i="4" s="1"/>
  <c r="I11" i="4" s="1"/>
  <c r="I12" i="5"/>
  <c r="E12" i="5"/>
  <c r="G12" i="5" s="1"/>
  <c r="H12" i="5" s="1"/>
  <c r="I15" i="3"/>
  <c r="J15" i="3" s="1"/>
  <c r="D16" i="3" s="1"/>
  <c r="G12" i="9" l="1"/>
  <c r="H12" i="9" s="1"/>
  <c r="K12" i="9"/>
  <c r="J12" i="9"/>
  <c r="I12" i="6"/>
  <c r="E12" i="6"/>
  <c r="G12" i="6" s="1"/>
  <c r="H12" i="6" s="1"/>
  <c r="L11" i="8"/>
  <c r="M11" i="8" s="1"/>
  <c r="N11" i="8" s="1"/>
  <c r="D12" i="8" s="1"/>
  <c r="G12" i="7"/>
  <c r="H12" i="7" s="1"/>
  <c r="J12" i="7"/>
  <c r="J11" i="4"/>
  <c r="K11" i="4"/>
  <c r="F11" i="4"/>
  <c r="E11" i="4"/>
  <c r="J12" i="5"/>
  <c r="K12" i="5"/>
  <c r="G16" i="3"/>
  <c r="H16" i="3" s="1"/>
  <c r="E16" i="3"/>
  <c r="F16" i="3" s="1"/>
  <c r="L12" i="9" l="1"/>
  <c r="M12" i="9" s="1"/>
  <c r="N12" i="9" s="1"/>
  <c r="D13" i="9" s="1"/>
  <c r="K12" i="6"/>
  <c r="J12" i="6"/>
  <c r="E12" i="8"/>
  <c r="F12" i="8"/>
  <c r="I12" i="8"/>
  <c r="L12" i="7"/>
  <c r="M12" i="7" s="1"/>
  <c r="N12" i="7" s="1"/>
  <c r="D13" i="7" s="1"/>
  <c r="F13" i="7" s="1"/>
  <c r="L12" i="5"/>
  <c r="M12" i="5" s="1"/>
  <c r="N12" i="5" s="1"/>
  <c r="D13" i="5" s="1"/>
  <c r="I13" i="5" s="1"/>
  <c r="K13" i="5" s="1"/>
  <c r="L11" i="4"/>
  <c r="G11" i="4"/>
  <c r="H11" i="4" s="1"/>
  <c r="I16" i="3"/>
  <c r="J16" i="3" s="1"/>
  <c r="D17" i="3" s="1"/>
  <c r="L12" i="6" l="1"/>
  <c r="M12" i="6" s="1"/>
  <c r="N12" i="6" s="1"/>
  <c r="D13" i="6" s="1"/>
  <c r="E13" i="9"/>
  <c r="I13" i="9"/>
  <c r="F13" i="9"/>
  <c r="J13" i="5"/>
  <c r="L13" i="5" s="1"/>
  <c r="F13" i="5"/>
  <c r="E13" i="5"/>
  <c r="G12" i="8"/>
  <c r="H12" i="8" s="1"/>
  <c r="K12" i="8"/>
  <c r="J12" i="8"/>
  <c r="E13" i="7"/>
  <c r="I13" i="7"/>
  <c r="K13" i="7" s="1"/>
  <c r="M11" i="4"/>
  <c r="N11" i="4" s="1"/>
  <c r="D12" i="4" s="1"/>
  <c r="E17" i="3"/>
  <c r="F17" i="3" s="1"/>
  <c r="G17" i="3"/>
  <c r="H17" i="3" s="1"/>
  <c r="E13" i="6" l="1"/>
  <c r="F13" i="6"/>
  <c r="I13" i="6"/>
  <c r="K13" i="6" s="1"/>
  <c r="G13" i="9"/>
  <c r="H13" i="9" s="1"/>
  <c r="K13" i="9"/>
  <c r="J13" i="9"/>
  <c r="G13" i="5"/>
  <c r="H13" i="5" s="1"/>
  <c r="L12" i="8"/>
  <c r="M12" i="8" s="1"/>
  <c r="N12" i="8" s="1"/>
  <c r="D13" i="8" s="1"/>
  <c r="G13" i="7"/>
  <c r="H13" i="7" s="1"/>
  <c r="J13" i="7"/>
  <c r="F12" i="4"/>
  <c r="I12" i="4"/>
  <c r="E12" i="4"/>
  <c r="I17" i="3"/>
  <c r="J17" i="3" s="1"/>
  <c r="D18" i="3" s="1"/>
  <c r="G13" i="6" l="1"/>
  <c r="H13" i="6" s="1"/>
  <c r="J13" i="6"/>
  <c r="L13" i="6" s="1"/>
  <c r="L13" i="9"/>
  <c r="M13" i="9" s="1"/>
  <c r="N13" i="9" s="1"/>
  <c r="D14" i="9" s="1"/>
  <c r="M13" i="5"/>
  <c r="N13" i="5" s="1"/>
  <c r="D14" i="5" s="1"/>
  <c r="F13" i="8"/>
  <c r="I13" i="8"/>
  <c r="E13" i="8"/>
  <c r="L13" i="7"/>
  <c r="M13" i="7" s="1"/>
  <c r="N13" i="7" s="1"/>
  <c r="D14" i="7" s="1"/>
  <c r="E14" i="7" s="1"/>
  <c r="G12" i="4"/>
  <c r="H12" i="4" s="1"/>
  <c r="J12" i="4"/>
  <c r="K12" i="4"/>
  <c r="G18" i="3"/>
  <c r="H18" i="3" s="1"/>
  <c r="E18" i="3"/>
  <c r="F18" i="3" s="1"/>
  <c r="H6" i="1"/>
  <c r="H11" i="1" s="1"/>
  <c r="H14" i="1" s="1"/>
  <c r="M13" i="6" l="1"/>
  <c r="N13" i="6" s="1"/>
  <c r="D14" i="6" s="1"/>
  <c r="F14" i="6" s="1"/>
  <c r="H15" i="1"/>
  <c r="F15" i="1"/>
  <c r="D15" i="1"/>
  <c r="G15" i="1"/>
  <c r="E15" i="1"/>
  <c r="I14" i="9"/>
  <c r="F14" i="9"/>
  <c r="E14" i="9"/>
  <c r="F14" i="5"/>
  <c r="E14" i="5"/>
  <c r="I14" i="5"/>
  <c r="K13" i="8"/>
  <c r="J13" i="8"/>
  <c r="G13" i="8"/>
  <c r="H13" i="8" s="1"/>
  <c r="F14" i="7"/>
  <c r="G14" i="7" s="1"/>
  <c r="H14" i="7" s="1"/>
  <c r="I14" i="7"/>
  <c r="K14" i="7" s="1"/>
  <c r="L12" i="4"/>
  <c r="M12" i="4" s="1"/>
  <c r="N12" i="4" s="1"/>
  <c r="D13" i="4" s="1"/>
  <c r="I18" i="3"/>
  <c r="J18" i="3" s="1"/>
  <c r="I14" i="6" l="1"/>
  <c r="K14" i="6" s="1"/>
  <c r="E14" i="6"/>
  <c r="G14" i="6" s="1"/>
  <c r="H14" i="6" s="1"/>
  <c r="G14" i="9"/>
  <c r="H14" i="9" s="1"/>
  <c r="J14" i="9"/>
  <c r="K14" i="9"/>
  <c r="L13" i="8"/>
  <c r="M13" i="8" s="1"/>
  <c r="N13" i="8" s="1"/>
  <c r="D14" i="8" s="1"/>
  <c r="G14" i="5"/>
  <c r="H14" i="5" s="1"/>
  <c r="J14" i="5"/>
  <c r="K14" i="5"/>
  <c r="J14" i="7"/>
  <c r="L14" i="7" s="1"/>
  <c r="M14" i="7" s="1"/>
  <c r="N14" i="7" s="1"/>
  <c r="D15" i="7" s="1"/>
  <c r="F15" i="7" s="1"/>
  <c r="F13" i="4"/>
  <c r="I13" i="4"/>
  <c r="E13" i="4"/>
  <c r="J14" i="6" l="1"/>
  <c r="L14" i="6" s="1"/>
  <c r="M14" i="6" s="1"/>
  <c r="N14" i="6" s="1"/>
  <c r="D15" i="6" s="1"/>
  <c r="F15" i="6" s="1"/>
  <c r="L14" i="5"/>
  <c r="M14" i="5" s="1"/>
  <c r="N14" i="5" s="1"/>
  <c r="D15" i="5" s="1"/>
  <c r="E15" i="5" s="1"/>
  <c r="L14" i="9"/>
  <c r="M14" i="9" s="1"/>
  <c r="N14" i="9" s="1"/>
  <c r="D15" i="9" s="1"/>
  <c r="F14" i="8"/>
  <c r="E14" i="8"/>
  <c r="I14" i="8"/>
  <c r="I15" i="7"/>
  <c r="K15" i="7" s="1"/>
  <c r="E15" i="7"/>
  <c r="G13" i="4"/>
  <c r="H13" i="4" s="1"/>
  <c r="J13" i="4"/>
  <c r="K13" i="4"/>
  <c r="I15" i="5" l="1"/>
  <c r="F15" i="5"/>
  <c r="G15" i="5" s="1"/>
  <c r="H15" i="5" s="1"/>
  <c r="F15" i="9"/>
  <c r="E15" i="9"/>
  <c r="I15" i="9"/>
  <c r="G14" i="8"/>
  <c r="H14" i="8" s="1"/>
  <c r="K14" i="8"/>
  <c r="J14" i="8"/>
  <c r="G15" i="7"/>
  <c r="H15" i="7" s="1"/>
  <c r="J15" i="7"/>
  <c r="L15" i="7" s="1"/>
  <c r="E15" i="6"/>
  <c r="G15" i="6" s="1"/>
  <c r="I15" i="6"/>
  <c r="K15" i="6" s="1"/>
  <c r="L13" i="4"/>
  <c r="M13" i="4" s="1"/>
  <c r="N13" i="4" s="1"/>
  <c r="D14" i="4" s="1"/>
  <c r="J15" i="5" l="1"/>
  <c r="K15" i="5"/>
  <c r="G15" i="9"/>
  <c r="H15" i="9" s="1"/>
  <c r="K15" i="9"/>
  <c r="J15" i="9"/>
  <c r="L14" i="8"/>
  <c r="M14" i="8" s="1"/>
  <c r="N14" i="8" s="1"/>
  <c r="D15" i="8" s="1"/>
  <c r="I15" i="8" s="1"/>
  <c r="M15" i="7"/>
  <c r="N15" i="7" s="1"/>
  <c r="D16" i="7" s="1"/>
  <c r="F16" i="7" s="1"/>
  <c r="J15" i="6"/>
  <c r="L15" i="6" s="1"/>
  <c r="H15" i="6"/>
  <c r="F14" i="4"/>
  <c r="I14" i="4"/>
  <c r="E14" i="4"/>
  <c r="L15" i="5" l="1"/>
  <c r="M15" i="5" s="1"/>
  <c r="N15" i="5" s="1"/>
  <c r="D16" i="5" s="1"/>
  <c r="E16" i="5" s="1"/>
  <c r="L15" i="9"/>
  <c r="M15" i="9" s="1"/>
  <c r="N15" i="9" s="1"/>
  <c r="D16" i="9" s="1"/>
  <c r="G14" i="4"/>
  <c r="H14" i="4" s="1"/>
  <c r="F15" i="8"/>
  <c r="E15" i="8"/>
  <c r="K15" i="8"/>
  <c r="J15" i="8"/>
  <c r="I16" i="7"/>
  <c r="K16" i="7" s="1"/>
  <c r="E16" i="7"/>
  <c r="M15" i="6"/>
  <c r="N15" i="6" s="1"/>
  <c r="D16" i="6" s="1"/>
  <c r="F16" i="6" s="1"/>
  <c r="J14" i="4"/>
  <c r="K14" i="4"/>
  <c r="I16" i="5" l="1"/>
  <c r="F16" i="5"/>
  <c r="G16" i="5" s="1"/>
  <c r="H16" i="5" s="1"/>
  <c r="I16" i="9"/>
  <c r="E16" i="9"/>
  <c r="F16" i="9"/>
  <c r="G15" i="8"/>
  <c r="H15" i="8" s="1"/>
  <c r="L15" i="8"/>
  <c r="J16" i="7"/>
  <c r="G16" i="7"/>
  <c r="H16" i="7" s="1"/>
  <c r="I16" i="6"/>
  <c r="E16" i="6"/>
  <c r="G16" i="6" s="1"/>
  <c r="H16" i="6" s="1"/>
  <c r="L14" i="4"/>
  <c r="M14" i="4" s="1"/>
  <c r="J16" i="5" l="1"/>
  <c r="K16" i="5"/>
  <c r="M15" i="8"/>
  <c r="N15" i="8" s="1"/>
  <c r="D16" i="8" s="1"/>
  <c r="I16" i="8" s="1"/>
  <c r="G16" i="9"/>
  <c r="H16" i="9" s="1"/>
  <c r="K16" i="9"/>
  <c r="J16" i="9"/>
  <c r="L16" i="7"/>
  <c r="M16" i="7" s="1"/>
  <c r="N16" i="7" s="1"/>
  <c r="D17" i="7" s="1"/>
  <c r="F17" i="7" s="1"/>
  <c r="K16" i="6"/>
  <c r="J16" i="6"/>
  <c r="N14" i="4"/>
  <c r="D15" i="4" s="1"/>
  <c r="E16" i="8" l="1"/>
  <c r="F16" i="8"/>
  <c r="L16" i="5"/>
  <c r="M16" i="5" s="1"/>
  <c r="N16" i="5" s="1"/>
  <c r="D17" i="5" s="1"/>
  <c r="L16" i="9"/>
  <c r="M16" i="9" s="1"/>
  <c r="N16" i="9" s="1"/>
  <c r="D17" i="9" s="1"/>
  <c r="L16" i="6"/>
  <c r="M16" i="6" s="1"/>
  <c r="N16" i="6" s="1"/>
  <c r="D17" i="6" s="1"/>
  <c r="K16" i="8"/>
  <c r="J16" i="8"/>
  <c r="E17" i="7"/>
  <c r="I17" i="7"/>
  <c r="K17" i="7" s="1"/>
  <c r="F15" i="4"/>
  <c r="I15" i="4"/>
  <c r="E15" i="4"/>
  <c r="G16" i="8" l="1"/>
  <c r="H16" i="8" s="1"/>
  <c r="G15" i="4"/>
  <c r="H15" i="4" s="1"/>
  <c r="E17" i="5"/>
  <c r="I17" i="5"/>
  <c r="F17" i="5"/>
  <c r="G17" i="5" s="1"/>
  <c r="H17" i="5" s="1"/>
  <c r="I17" i="9"/>
  <c r="F17" i="9"/>
  <c r="E17" i="9"/>
  <c r="L16" i="8"/>
  <c r="M16" i="8" s="1"/>
  <c r="N16" i="8" s="1"/>
  <c r="D17" i="8" s="1"/>
  <c r="G17" i="7"/>
  <c r="H17" i="7" s="1"/>
  <c r="J17" i="7"/>
  <c r="E17" i="6"/>
  <c r="F17" i="6"/>
  <c r="I17" i="6"/>
  <c r="J15" i="4"/>
  <c r="K15" i="4"/>
  <c r="K17" i="5" l="1"/>
  <c r="J17" i="5"/>
  <c r="G17" i="9"/>
  <c r="H17" i="9" s="1"/>
  <c r="K17" i="9"/>
  <c r="J17" i="9"/>
  <c r="G17" i="6"/>
  <c r="H17" i="6" s="1"/>
  <c r="I17" i="8"/>
  <c r="E17" i="8"/>
  <c r="F17" i="8"/>
  <c r="L17" i="7"/>
  <c r="M17" i="7" s="1"/>
  <c r="N17" i="7" s="1"/>
  <c r="D18" i="7" s="1"/>
  <c r="K17" i="6"/>
  <c r="J17" i="6"/>
  <c r="L15" i="4"/>
  <c r="M15" i="4" s="1"/>
  <c r="N15" i="4" s="1"/>
  <c r="D16" i="4" s="1"/>
  <c r="L17" i="5" l="1"/>
  <c r="M17" i="5" s="1"/>
  <c r="N17" i="5" s="1"/>
  <c r="D18" i="5" s="1"/>
  <c r="L17" i="6"/>
  <c r="M17" i="6" s="1"/>
  <c r="L17" i="9"/>
  <c r="M17" i="9" s="1"/>
  <c r="N17" i="9" s="1"/>
  <c r="D18" i="9" s="1"/>
  <c r="G17" i="8"/>
  <c r="H17" i="8" s="1"/>
  <c r="F18" i="7"/>
  <c r="M6" i="1"/>
  <c r="M11" i="1" s="1"/>
  <c r="M14" i="1" s="1"/>
  <c r="M15" i="1" s="1"/>
  <c r="N17" i="6"/>
  <c r="D18" i="6" s="1"/>
  <c r="L6" i="1" s="1"/>
  <c r="L11" i="1" s="1"/>
  <c r="L14" i="1" s="1"/>
  <c r="L15" i="1" s="1"/>
  <c r="K17" i="8"/>
  <c r="J17" i="8"/>
  <c r="I18" i="7"/>
  <c r="K18" i="7" s="1"/>
  <c r="E18" i="7"/>
  <c r="F16" i="4"/>
  <c r="I16" i="4"/>
  <c r="E16" i="4"/>
  <c r="J6" i="1" l="1"/>
  <c r="J11" i="1" s="1"/>
  <c r="J14" i="1" s="1"/>
  <c r="J15" i="1" s="1"/>
  <c r="I18" i="5"/>
  <c r="F18" i="5"/>
  <c r="E18" i="5"/>
  <c r="G16" i="4"/>
  <c r="H16" i="4" s="1"/>
  <c r="F18" i="9"/>
  <c r="I6" i="1"/>
  <c r="I11" i="1" s="1"/>
  <c r="I14" i="1" s="1"/>
  <c r="I15" i="1" s="1"/>
  <c r="E18" i="6"/>
  <c r="I18" i="9"/>
  <c r="K18" i="9" s="1"/>
  <c r="E18" i="9"/>
  <c r="F18" i="6"/>
  <c r="I18" i="6"/>
  <c r="K18" i="6" s="1"/>
  <c r="L17" i="8"/>
  <c r="M17" i="8" s="1"/>
  <c r="N17" i="8" s="1"/>
  <c r="D18" i="8" s="1"/>
  <c r="N6" i="1" s="1"/>
  <c r="N11" i="1" s="1"/>
  <c r="N14" i="1" s="1"/>
  <c r="N15" i="1" s="1"/>
  <c r="G18" i="7"/>
  <c r="H18" i="7" s="1"/>
  <c r="J18" i="7"/>
  <c r="J16" i="4"/>
  <c r="K16" i="4"/>
  <c r="G18" i="5" l="1"/>
  <c r="H18" i="5" s="1"/>
  <c r="J18" i="5"/>
  <c r="K18" i="5"/>
  <c r="G18" i="9"/>
  <c r="H18" i="9" s="1"/>
  <c r="G18" i="6"/>
  <c r="H18" i="6" s="1"/>
  <c r="J18" i="9"/>
  <c r="L18" i="9" s="1"/>
  <c r="M18" i="9" s="1"/>
  <c r="N18" i="9" s="1"/>
  <c r="J18" i="6"/>
  <c r="L18" i="6" s="1"/>
  <c r="F18" i="8"/>
  <c r="E18" i="8"/>
  <c r="I18" i="8"/>
  <c r="L18" i="7"/>
  <c r="M18" i="7" s="1"/>
  <c r="N18" i="7" s="1"/>
  <c r="L16" i="4"/>
  <c r="M16" i="4" s="1"/>
  <c r="L18" i="5" l="1"/>
  <c r="M18" i="5" s="1"/>
  <c r="N18" i="5" s="1"/>
  <c r="M18" i="6"/>
  <c r="N18" i="6" s="1"/>
  <c r="K18" i="8"/>
  <c r="J18" i="8"/>
  <c r="G18" i="8"/>
  <c r="H18" i="8" s="1"/>
  <c r="N16" i="4"/>
  <c r="D17" i="4" s="1"/>
  <c r="L18" i="8" l="1"/>
  <c r="M18" i="8" s="1"/>
  <c r="N18" i="8" s="1"/>
  <c r="F17" i="4"/>
  <c r="I17" i="4"/>
  <c r="E17" i="4"/>
  <c r="G17" i="4" s="1"/>
  <c r="H17" i="4" s="1"/>
  <c r="J17" i="4" l="1"/>
  <c r="K17" i="4"/>
  <c r="L17" i="4" l="1"/>
  <c r="M17" i="4" s="1"/>
  <c r="N17" i="4" s="1"/>
  <c r="D18" i="4" s="1"/>
  <c r="K6" i="1" s="1"/>
  <c r="K11" i="1" s="1"/>
  <c r="K14" i="1" s="1"/>
  <c r="K15" i="1" s="1"/>
  <c r="F18" i="4" l="1"/>
  <c r="I18" i="4"/>
  <c r="E18" i="4"/>
  <c r="G18" i="4" s="1"/>
  <c r="H18" i="4" s="1"/>
  <c r="J18" i="4" l="1"/>
  <c r="K18" i="4"/>
  <c r="L18" i="4" l="1"/>
  <c r="M18" i="4" s="1"/>
  <c r="N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C6" authorId="0" shapeId="0" xr:uid="{AD79B0EF-F9B1-4DF1-9AF8-AA5C1EE5A81D}">
      <text>
        <r>
          <rPr>
            <b/>
            <sz val="9"/>
            <color indexed="81"/>
            <rFont val="MS P ゴシック"/>
            <family val="2"/>
          </rPr>
          <t>Z0&gt;=2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が好ましい
</t>
        </r>
        <r>
          <rPr>
            <b/>
            <sz val="9"/>
            <color indexed="81"/>
            <rFont val="MS P ゴシック"/>
            <family val="2"/>
          </rPr>
          <t>Z0</t>
        </r>
        <r>
          <rPr>
            <b/>
            <sz val="9"/>
            <color indexed="81"/>
            <rFont val="ＭＳ Ｐゴシック"/>
            <family val="3"/>
            <charset val="128"/>
          </rPr>
          <t>が</t>
        </r>
        <r>
          <rPr>
            <b/>
            <sz val="9"/>
            <color indexed="81"/>
            <rFont val="MS P ゴシック"/>
            <family val="2"/>
          </rPr>
          <t>0</t>
        </r>
        <r>
          <rPr>
            <b/>
            <sz val="9"/>
            <color indexed="81"/>
            <rFont val="ＭＳ Ｐゴシック"/>
            <family val="3"/>
            <charset val="128"/>
          </rPr>
          <t>～</t>
        </r>
        <r>
          <rPr>
            <b/>
            <sz val="9"/>
            <color indexed="81"/>
            <rFont val="MS P ゴシック"/>
            <family val="2"/>
          </rPr>
          <t>1.7</t>
        </r>
        <r>
          <rPr>
            <b/>
            <sz val="9"/>
            <color indexed="81"/>
            <rFont val="ＭＳ Ｐゴシック"/>
            <family val="3"/>
            <charset val="128"/>
          </rPr>
          <t>の範囲は</t>
        </r>
        <r>
          <rPr>
            <b/>
            <sz val="9"/>
            <color indexed="81"/>
            <rFont val="MS P ゴシック"/>
            <family val="2"/>
          </rPr>
          <t>(D/a)new</t>
        </r>
        <r>
          <rPr>
            <b/>
            <sz val="9"/>
            <color indexed="81"/>
            <rFont val="ＭＳ Ｐゴシック"/>
            <family val="3"/>
            <charset val="128"/>
          </rPr>
          <t>に於いて正しく計算されていない可能性があります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B4" authorId="0" shapeId="0" xr:uid="{4817DCD7-1894-4E8F-8B10-801148CCD466}">
      <text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g/</t>
        </r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を計算するための∂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4" authorId="0" shapeId="0" xr:uid="{1DB8C27F-9058-4717-A8B3-DD3BD359DAAE}">
      <text>
        <r>
          <rPr>
            <b/>
            <sz val="9"/>
            <color indexed="81"/>
            <rFont val="MS P ゴシック"/>
            <family val="2"/>
          </rPr>
          <t>Indirect Computation</t>
        </r>
        <r>
          <rPr>
            <b/>
            <sz val="9"/>
            <color indexed="81"/>
            <rFont val="ＭＳ Ｐゴシック"/>
            <family val="3"/>
            <charset val="128"/>
          </rPr>
          <t>からもらった数値です。</t>
        </r>
      </text>
    </comment>
    <comment ref="D4" authorId="0" shapeId="0" xr:uid="{9C65F70B-AE3F-48F5-B050-5298B9F3D090}">
      <text>
        <r>
          <rPr>
            <sz val="9"/>
            <color indexed="81"/>
            <rFont val="MS P ゴシック"/>
            <family val="2"/>
          </rPr>
          <t>r</t>
        </r>
        <r>
          <rPr>
            <sz val="9"/>
            <color indexed="81"/>
            <rFont val="ＭＳ Ｐゴシック"/>
            <family val="3"/>
            <charset val="128"/>
          </rPr>
          <t>の初期値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D5" authorId="0" shapeId="0" xr:uid="{5070719F-8FD1-4489-9FDA-FB0BF0A735EF}">
      <text>
        <r>
          <rPr>
            <b/>
            <sz val="9"/>
            <color indexed="81"/>
            <rFont val="MS P ゴシック"/>
            <family val="2"/>
          </rPr>
          <t xml:space="preserve">new-r=old-r + J4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B4" authorId="0" shapeId="0" xr:uid="{3AB5D226-AE39-46EA-903E-C449DCE3D6C7}">
      <text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g/</t>
        </r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を計算するための∂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4" authorId="0" shapeId="0" xr:uid="{60E8C9A5-D615-41C7-8C20-D1B45A2280A5}">
      <text>
        <r>
          <rPr>
            <b/>
            <sz val="9"/>
            <color indexed="81"/>
            <rFont val="MS P ゴシック"/>
            <family val="2"/>
          </rPr>
          <t>Indirect Computation</t>
        </r>
        <r>
          <rPr>
            <b/>
            <sz val="9"/>
            <color indexed="81"/>
            <rFont val="ＭＳ Ｐゴシック"/>
            <family val="3"/>
            <charset val="128"/>
          </rPr>
          <t>からもらった数値です。</t>
        </r>
      </text>
    </comment>
    <comment ref="D4" authorId="0" shapeId="0" xr:uid="{D1714BE1-E469-4011-9AD5-64A9C415FFC7}">
      <text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の初期値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B4" authorId="0" shapeId="0" xr:uid="{D98DA38C-B3E6-4EE0-85C9-11DBC1BF738B}">
      <text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g/</t>
        </r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を計算するための∂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4" authorId="0" shapeId="0" xr:uid="{2778872B-BDBB-462F-B3A1-60DFB0D75AC0}">
      <text>
        <r>
          <rPr>
            <b/>
            <sz val="9"/>
            <color indexed="81"/>
            <rFont val="MS P ゴシック"/>
            <family val="2"/>
          </rPr>
          <t>Indirect Computation</t>
        </r>
        <r>
          <rPr>
            <b/>
            <sz val="9"/>
            <color indexed="81"/>
            <rFont val="ＭＳ Ｐゴシック"/>
            <family val="3"/>
            <charset val="128"/>
          </rPr>
          <t>からもらった数値です。</t>
        </r>
      </text>
    </comment>
    <comment ref="D4" authorId="0" shapeId="0" xr:uid="{8670831C-3B58-4E60-938B-9D78D9D51EEC}">
      <text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の初期値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B4" authorId="0" shapeId="0" xr:uid="{09E32DFA-1939-42A2-BF0F-E84A9C191746}">
      <text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g/</t>
        </r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を計算するための∂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4" authorId="0" shapeId="0" xr:uid="{7672B5F8-561A-41BE-9053-C6D00B6AEC46}">
      <text>
        <r>
          <rPr>
            <b/>
            <sz val="9"/>
            <color indexed="81"/>
            <rFont val="MS P ゴシック"/>
            <family val="2"/>
          </rPr>
          <t>Indirect Computation</t>
        </r>
        <r>
          <rPr>
            <b/>
            <sz val="9"/>
            <color indexed="81"/>
            <rFont val="ＭＳ Ｐゴシック"/>
            <family val="3"/>
            <charset val="128"/>
          </rPr>
          <t>からもらった数値です。</t>
        </r>
      </text>
    </comment>
    <comment ref="D4" authorId="0" shapeId="0" xr:uid="{878304D9-CAE6-4DE3-92C8-CE627C152F3B}">
      <text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の初期値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B4" authorId="0" shapeId="0" xr:uid="{2BB782DB-A235-449D-966C-E2399E6768F1}">
      <text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g/</t>
        </r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を計算するための∂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4" authorId="0" shapeId="0" xr:uid="{D1AF8D9D-7A2B-4EE0-9E9D-9C7F8B33016F}">
      <text>
        <r>
          <rPr>
            <b/>
            <sz val="9"/>
            <color indexed="81"/>
            <rFont val="MS P ゴシック"/>
            <family val="2"/>
          </rPr>
          <t>Indirect Computation</t>
        </r>
        <r>
          <rPr>
            <b/>
            <sz val="9"/>
            <color indexed="81"/>
            <rFont val="ＭＳ Ｐゴシック"/>
            <family val="3"/>
            <charset val="128"/>
          </rPr>
          <t>からもらった数値です。</t>
        </r>
      </text>
    </comment>
    <comment ref="D4" authorId="0" shapeId="0" xr:uid="{69162180-4A15-4438-B2A9-F993996592F2}">
      <text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の初期値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B4" authorId="0" shapeId="0" xr:uid="{397E64FC-C6CF-4978-A35C-C5688E1E605C}">
      <text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g/</t>
        </r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を計算するための∂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4" authorId="0" shapeId="0" xr:uid="{9129A505-6323-40DE-BA19-351BD2421A37}">
      <text>
        <r>
          <rPr>
            <b/>
            <sz val="9"/>
            <color indexed="81"/>
            <rFont val="MS P ゴシック"/>
            <family val="2"/>
          </rPr>
          <t>Indirect Computation</t>
        </r>
        <r>
          <rPr>
            <b/>
            <sz val="9"/>
            <color indexed="81"/>
            <rFont val="ＭＳ Ｐゴシック"/>
            <family val="3"/>
            <charset val="128"/>
          </rPr>
          <t>からもらった数値です。</t>
        </r>
      </text>
    </comment>
    <comment ref="D4" authorId="0" shapeId="0" xr:uid="{2D237250-6518-4C6E-8AF0-008A9E7B3E93}">
      <text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の初期値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福森栄次</author>
  </authors>
  <commentList>
    <comment ref="B4" authorId="0" shapeId="0" xr:uid="{269E2009-C76C-4765-B12E-F447FF68A624}">
      <text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g/</t>
        </r>
        <r>
          <rPr>
            <b/>
            <sz val="9"/>
            <color indexed="81"/>
            <rFont val="ＭＳ Ｐゴシック"/>
            <family val="3"/>
            <charset val="128"/>
          </rPr>
          <t>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を計算するための∂</t>
        </r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です。</t>
        </r>
      </text>
    </comment>
    <comment ref="C4" authorId="0" shapeId="0" xr:uid="{D94CF591-19B3-472D-979C-608D8DAB03FE}">
      <text>
        <r>
          <rPr>
            <b/>
            <sz val="9"/>
            <color indexed="81"/>
            <rFont val="MS P ゴシック"/>
            <family val="2"/>
          </rPr>
          <t>Indirect Computation</t>
        </r>
        <r>
          <rPr>
            <b/>
            <sz val="9"/>
            <color indexed="81"/>
            <rFont val="ＭＳ Ｐゴシック"/>
            <family val="3"/>
            <charset val="128"/>
          </rPr>
          <t>からもらった数値です。</t>
        </r>
      </text>
    </comment>
    <comment ref="D4" authorId="0" shapeId="0" xr:uid="{0715051B-4A8F-4B50-932D-FC8377532147}">
      <text>
        <r>
          <rPr>
            <b/>
            <sz val="9"/>
            <color indexed="81"/>
            <rFont val="MS P ゴシック"/>
            <family val="2"/>
          </rPr>
          <t>r</t>
        </r>
        <r>
          <rPr>
            <b/>
            <sz val="9"/>
            <color indexed="81"/>
            <rFont val="ＭＳ Ｐゴシック"/>
            <family val="3"/>
            <charset val="128"/>
          </rPr>
          <t>の初期値</t>
        </r>
      </text>
    </comment>
  </commentList>
</comments>
</file>

<file path=xl/sharedStrings.xml><?xml version="1.0" encoding="utf-8"?>
<sst xmlns="http://schemas.openxmlformats.org/spreadsheetml/2006/main" count="230" uniqueCount="130">
  <si>
    <t>媒体</t>
    <rPh sb="0" eb="2">
      <t>バイタイ</t>
    </rPh>
    <phoneticPr fontId="1"/>
  </si>
  <si>
    <t>Air</t>
    <phoneticPr fontId="1"/>
  </si>
  <si>
    <t>√(μ0/ε0)</t>
    <phoneticPr fontId="1"/>
  </si>
  <si>
    <t>比透磁率μr</t>
    <phoneticPr fontId="1"/>
  </si>
  <si>
    <t>比誘電率εr</t>
    <phoneticPr fontId="1"/>
  </si>
  <si>
    <t>√(μr/εr)</t>
    <phoneticPr fontId="1"/>
  </si>
  <si>
    <t>√(μ0/ε0)/π</t>
    <phoneticPr fontId="1"/>
  </si>
  <si>
    <t>√(μ/ε)/π</t>
    <phoneticPr fontId="1"/>
  </si>
  <si>
    <t>D/a</t>
    <phoneticPr fontId="1"/>
  </si>
  <si>
    <t>r</t>
    <phoneticPr fontId="1"/>
  </si>
  <si>
    <t>g( r)</t>
    <phoneticPr fontId="1"/>
  </si>
  <si>
    <t>∂r</t>
    <phoneticPr fontId="1"/>
  </si>
  <si>
    <t>r+∂r</t>
    <phoneticPr fontId="1"/>
  </si>
  <si>
    <t>g'( r)=∂g/∂r</t>
    <phoneticPr fontId="1"/>
  </si>
  <si>
    <t>Δr=-g( r)/(g'( r)</t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</si>
  <si>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phoneticPr fontId="1"/>
  </si>
  <si>
    <t>テーラー展開より</t>
    <rPh sb="4" eb="6">
      <t>テンカイ</t>
    </rPh>
    <phoneticPr fontId="1"/>
  </si>
  <si>
    <t>g(r+Δr)=0より</t>
    <phoneticPr fontId="1"/>
  </si>
  <si>
    <r>
      <t>👈</t>
    </r>
    <r>
      <rPr>
        <sz val="11"/>
        <color theme="1"/>
        <rFont val="ＭＳ Ｐゴシック"/>
        <family val="2"/>
        <charset val="128"/>
      </rPr>
      <t>出力</t>
    </r>
    <rPh sb="2" eb="4">
      <t>シュツリョク</t>
    </rPh>
    <phoneticPr fontId="1"/>
  </si>
  <si>
    <t>a[mm]</t>
    <phoneticPr fontId="1"/>
  </si>
  <si>
    <t>導線の中心線間の距離</t>
    <rPh sb="0" eb="2">
      <t>ドウセン</t>
    </rPh>
    <rPh sb="3" eb="6">
      <t>チュウシンセン</t>
    </rPh>
    <rPh sb="6" eb="7">
      <t>アイダ</t>
    </rPh>
    <rPh sb="8" eb="10">
      <t>キョリ</t>
    </rPh>
    <phoneticPr fontId="1"/>
  </si>
  <si>
    <t>導線の半径</t>
    <rPh sb="0" eb="2">
      <t>ドウセン</t>
    </rPh>
    <rPh sb="3" eb="5">
      <t>ハンケイ</t>
    </rPh>
    <phoneticPr fontId="1"/>
  </si>
  <si>
    <t>D=</t>
    <phoneticPr fontId="1"/>
  </si>
  <si>
    <t>a=</t>
    <phoneticPr fontId="1"/>
  </si>
  <si>
    <t>このシートでは、D/aを入力すると各関数fiを使ったときのZ0を計算します。ただし、ZnewではLをfnewでCをf3で計算しています。</t>
    <phoneticPr fontId="1"/>
  </si>
  <si>
    <t>πΔf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</si>
  <si>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</si>
  <si>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new</t>
    </r>
    <phoneticPr fontId="1"/>
  </si>
  <si>
    <r>
      <t>μ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</si>
  <si>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r>
      <t>ε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</si>
  <si>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r>
      <t>入力</t>
    </r>
    <r>
      <rPr>
        <sz val="11"/>
        <color theme="1"/>
        <rFont val="游ゴシック"/>
        <family val="2"/>
        <charset val="128"/>
      </rPr>
      <t>⇒</t>
    </r>
    <rPh sb="0" eb="2">
      <t>ニュウリョク</t>
    </rPh>
    <phoneticPr fontId="1"/>
  </si>
  <si>
    <t>r=D/a</t>
    <phoneticPr fontId="1"/>
  </si>
  <si>
    <r>
      <t>√(μ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/ε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</si>
  <si>
    <r>
      <t>√(μ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/ε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)/π</t>
    </r>
    <phoneticPr fontId="1"/>
  </si>
  <si>
    <t>πΔf( r)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</si>
  <si>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</si>
  <si>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</si>
  <si>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t>πΔf(r+∂r)</t>
    <phoneticPr fontId="1"/>
  </si>
  <si>
    <t>(D/a)11</t>
    <phoneticPr fontId="1"/>
  </si>
  <si>
    <t>(D/a)22</t>
    <phoneticPr fontId="1"/>
  </si>
  <si>
    <t>(D/a)77</t>
    <phoneticPr fontId="1"/>
  </si>
  <si>
    <t>(D/a)pmaxpmax</t>
    <phoneticPr fontId="1"/>
  </si>
  <si>
    <t>(D/a)33</t>
    <phoneticPr fontId="1"/>
  </si>
  <si>
    <t>(D/a)new3</t>
    <phoneticPr fontId="1"/>
  </si>
  <si>
    <t>D/a &gt; 2</t>
    <phoneticPr fontId="1"/>
  </si>
  <si>
    <t>条件</t>
    <rPh sb="0" eb="2">
      <t>ジョウケン</t>
    </rPh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</si>
  <si>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</si>
  <si>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t>Lの計算にf3、Cの計算にf3を使用している</t>
    <phoneticPr fontId="1"/>
  </si>
  <si>
    <t>D11</t>
    <phoneticPr fontId="1"/>
  </si>
  <si>
    <t>D22</t>
    <phoneticPr fontId="1"/>
  </si>
  <si>
    <t>D77</t>
    <phoneticPr fontId="1"/>
  </si>
  <si>
    <t>Dpmaxpmax</t>
    <phoneticPr fontId="1"/>
  </si>
  <si>
    <t>D33</t>
    <phoneticPr fontId="1"/>
  </si>
  <si>
    <t>Dnew3</t>
    <phoneticPr fontId="1"/>
  </si>
  <si>
    <t>GAP11</t>
    <phoneticPr fontId="1"/>
  </si>
  <si>
    <t>GAP22</t>
    <phoneticPr fontId="1"/>
  </si>
  <si>
    <t>GAP77</t>
    <phoneticPr fontId="1"/>
  </si>
  <si>
    <t>GAPpmaxpmax</t>
    <phoneticPr fontId="1"/>
  </si>
  <si>
    <t>GAP33</t>
    <phoneticPr fontId="1"/>
  </si>
  <si>
    <t>GAPnew3</t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</si>
  <si>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13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</si>
  <si>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t>g13( r)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</si>
  <si>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</si>
  <si>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13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</si>
  <si>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t>(D/a)13</t>
    <phoneticPr fontId="1"/>
  </si>
  <si>
    <t>D13</t>
    <phoneticPr fontId="1"/>
  </si>
  <si>
    <t>GAP13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</si>
  <si>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</si>
  <si>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23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</si>
  <si>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t>g23( r)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</si>
  <si>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</si>
  <si>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23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</si>
  <si>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t>(D/a)23</t>
    <phoneticPr fontId="1"/>
  </si>
  <si>
    <t>GAP23</t>
    <phoneticPr fontId="1"/>
  </si>
  <si>
    <t>D23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</si>
  <si>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7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</si>
  <si>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73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</si>
  <si>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t>g73( r)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</si>
  <si>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7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</si>
  <si>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73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</si>
  <si>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t>(D/a)73</t>
    <phoneticPr fontId="1"/>
  </si>
  <si>
    <t>D73</t>
    <phoneticPr fontId="1"/>
  </si>
  <si>
    <t>GAP73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</si>
  <si>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pmax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</si>
  <si>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pmax3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</si>
  <si>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t>gpmax3( r)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</si>
  <si>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pmax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</si>
  <si>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pmax3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</si>
  <si>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t>(D/a)pmax3</t>
    <phoneticPr fontId="1"/>
  </si>
  <si>
    <t>Dpmax3</t>
    <phoneticPr fontId="1"/>
  </si>
  <si>
    <t>GAPpmax3</t>
    <phoneticPr fontId="1"/>
  </si>
  <si>
    <t>(D/a)newnew</t>
    <phoneticPr fontId="1"/>
  </si>
  <si>
    <t>Dnewnew</t>
    <phoneticPr fontId="1"/>
  </si>
  <si>
    <t>GAPnewnew</t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</si>
  <si>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new3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</si>
  <si>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new3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</si>
  <si>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newnew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</si>
  <si>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newnew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</si>
  <si>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33</t>
    </r>
    <r>
      <rPr>
        <sz val="11"/>
        <color theme="1"/>
        <rFont val="游ゴシック"/>
        <family val="2"/>
        <charset val="128"/>
        <scheme val="minor"/>
      </rPr>
      <t>( r)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</si>
  <si>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33</t>
    </r>
    <r>
      <rPr>
        <sz val="11"/>
        <color theme="1"/>
        <rFont val="游ゴシック"/>
        <family val="2"/>
        <charset val="128"/>
        <scheme val="minor"/>
      </rPr>
      <t>(r+∂r)</t>
    </r>
    <phoneticPr fontId="1"/>
  </si>
  <si>
    <t>入力1⇒</t>
    <rPh sb="0" eb="2">
      <t>ニュウリョク</t>
    </rPh>
    <phoneticPr fontId="1"/>
  </si>
  <si>
    <t>入力2⇒</t>
    <rPh sb="0" eb="2">
      <t>ニュウリョク</t>
    </rPh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</si>
  <si>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11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</si>
  <si>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22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</si>
  <si>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77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</si>
  <si>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pmaxpmax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</si>
  <si>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33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</si>
  <si>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new3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</si>
  <si>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newnew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</si>
  <si>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13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</si>
  <si>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23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</si>
  <si>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73</t>
    </r>
    <phoneticPr fontId="1"/>
  </si>
  <si>
    <r>
      <t>Z</t>
    </r>
    <r>
      <rPr>
        <vertAlign val="subscript"/>
        <sz val="11"/>
        <color theme="1"/>
        <rFont val="游ゴシック"/>
        <family val="3"/>
        <charset val="128"/>
        <scheme val="minor"/>
      </rPr>
      <t>pmax3</t>
    </r>
    <phoneticPr fontId="1"/>
  </si>
  <si>
    <t>(D/a)ij = Lにfi関数を、Cにfj関数を使っています。例えば、(D/a)new3ではLをfnewでCをf3で計算しています。といってもスカラー掛け算ですから逆もありえます。</t>
    <rPh sb="14" eb="16">
      <t>カンスウ</t>
    </rPh>
    <rPh sb="22" eb="24">
      <t>カンスウ</t>
    </rPh>
    <rPh sb="25" eb="26">
      <t>ツカ</t>
    </rPh>
    <rPh sb="32" eb="33">
      <t>タト</t>
    </rPh>
    <rPh sb="76" eb="77">
      <t>カ</t>
    </rPh>
    <rPh sb="78" eb="79">
      <t>ザン</t>
    </rPh>
    <rPh sb="83" eb="84">
      <t>ギャク</t>
    </rPh>
    <phoneticPr fontId="1"/>
  </si>
  <si>
    <r>
      <t>このシートでは、Z</t>
    </r>
    <r>
      <rPr>
        <b/>
        <vertAlign val="subscript"/>
        <sz val="11"/>
        <color theme="0"/>
        <rFont val="游ゴシック"/>
        <family val="3"/>
        <charset val="128"/>
        <scheme val="minor"/>
      </rPr>
      <t>0</t>
    </r>
    <r>
      <rPr>
        <b/>
        <sz val="11"/>
        <color theme="0"/>
        <rFont val="游ゴシック"/>
        <family val="3"/>
        <charset val="128"/>
        <scheme val="minor"/>
      </rPr>
      <t>を入力すると各関数f</t>
    </r>
    <r>
      <rPr>
        <b/>
        <vertAlign val="subscript"/>
        <sz val="11"/>
        <color theme="0"/>
        <rFont val="游ゴシック"/>
        <family val="3"/>
        <charset val="128"/>
        <scheme val="minor"/>
      </rPr>
      <t>i</t>
    </r>
    <r>
      <rPr>
        <b/>
        <sz val="11"/>
        <color theme="0"/>
        <rFont val="游ゴシック"/>
        <family val="3"/>
        <charset val="128"/>
        <scheme val="minor"/>
      </rPr>
      <t>を使ったときのD/aを計算します。</t>
    </r>
    <rPh sb="11" eb="13">
      <t>ニュウリョク</t>
    </rPh>
    <rPh sb="16" eb="17">
      <t>カク</t>
    </rPh>
    <rPh sb="17" eb="19">
      <t>カンスウ</t>
    </rPh>
    <rPh sb="22" eb="23">
      <t>ツカ</t>
    </rPh>
    <rPh sb="32" eb="34">
      <t>ケイサン</t>
    </rPh>
    <phoneticPr fontId="1"/>
  </si>
  <si>
    <t>GAP</t>
    <phoneticPr fontId="1"/>
  </si>
  <si>
    <t>Item</t>
    <phoneticPr fontId="1"/>
  </si>
  <si>
    <t>β</t>
    <phoneticPr fontId="1"/>
  </si>
  <si>
    <t>D</t>
    <phoneticPr fontId="1"/>
  </si>
  <si>
    <t>a</t>
    <phoneticPr fontId="1"/>
  </si>
  <si>
    <t>s</t>
    <phoneticPr fontId="1"/>
  </si>
  <si>
    <t>S</t>
    <phoneticPr fontId="1"/>
  </si>
  <si>
    <t>h</t>
    <phoneticPr fontId="1"/>
  </si>
  <si>
    <t>θ</t>
    <phoneticPr fontId="1"/>
  </si>
  <si>
    <t>x=acos(θ)</t>
    <phoneticPr fontId="1"/>
  </si>
  <si>
    <t>f3</t>
    <phoneticPr fontId="1"/>
  </si>
  <si>
    <t>α</t>
    <phoneticPr fontId="1"/>
  </si>
  <si>
    <t>α'</t>
    <phoneticPr fontId="1"/>
  </si>
  <si>
    <t>f8</t>
    <phoneticPr fontId="1"/>
  </si>
  <si>
    <t>α''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</si>
</sst>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FF00"/>
      <name val="Times New Roman"/>
      <family val="1"/>
    </font>
    <font>
      <sz val="11"/>
      <color rgb="FFC0C0C0"/>
      <name val="Times New Roman"/>
      <family val="1"/>
    </font>
    <font>
      <sz val="11"/>
      <color theme="1"/>
      <name val="游ゴシック"/>
      <family val="3"/>
      <charset val="128"/>
    </font>
    <font>
      <vertAlign val="subscript"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ＭＳ Ｐゴシック"/>
      <family val="2"/>
      <charset val="128"/>
    </font>
    <font>
      <sz val="9"/>
      <color indexed="81"/>
      <name val="MS P ゴシック"/>
      <family val="2"/>
    </font>
    <font>
      <b/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游ゴシック"/>
      <family val="2"/>
      <charset val="128"/>
    </font>
    <font>
      <sz val="12"/>
      <color theme="1"/>
      <name val="游ゴシック"/>
      <family val="3"/>
      <charset val="128"/>
    </font>
    <font>
      <b/>
      <sz val="11"/>
      <color rgb="FFFFFF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vertAlign val="subscript"/>
      <sz val="11"/>
      <color theme="0"/>
      <name val="游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11" fontId="0" fillId="3" borderId="1" xfId="0" applyNumberFormat="1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0" fontId="0" fillId="5" borderId="0" xfId="0" applyFill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6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1" fontId="0" fillId="2" borderId="1" xfId="0" applyNumberForma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0" fontId="9" fillId="0" borderId="0" xfId="0" applyFont="1">
      <alignment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>
      <alignment vertical="center"/>
    </xf>
    <xf numFmtId="0" fontId="0" fillId="0" borderId="5" xfId="0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12" borderId="6" xfId="0" applyFill="1" applyBorder="1" applyAlignment="1">
      <alignment horizontal="right" vertical="center"/>
    </xf>
    <xf numFmtId="0" fontId="0" fillId="12" borderId="7" xfId="0" applyFill="1" applyBorder="1">
      <alignment vertical="center"/>
    </xf>
    <xf numFmtId="0" fontId="0" fillId="12" borderId="4" xfId="0" applyFill="1" applyBorder="1">
      <alignment vertical="center"/>
    </xf>
    <xf numFmtId="0" fontId="0" fillId="13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6" borderId="1" xfId="0" applyFont="1" applyFill="1" applyBorder="1" applyAlignment="1">
      <alignment horizontal="right" vertical="center"/>
    </xf>
    <xf numFmtId="0" fontId="0" fillId="14" borderId="4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0" fillId="15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16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17" borderId="6" xfId="0" applyFont="1" applyFill="1" applyBorder="1">
      <alignment vertical="center"/>
    </xf>
    <xf numFmtId="0" fontId="17" fillId="17" borderId="7" xfId="0" applyFont="1" applyFill="1" applyBorder="1">
      <alignment vertical="center"/>
    </xf>
    <xf numFmtId="0" fontId="17" fillId="17" borderId="7" xfId="0" applyFont="1" applyFill="1" applyBorder="1" applyAlignment="1">
      <alignment horizontal="right" vertical="center"/>
    </xf>
    <xf numFmtId="0" fontId="17" fillId="17" borderId="4" xfId="0" applyFont="1" applyFill="1" applyBorder="1">
      <alignment vertical="center"/>
    </xf>
    <xf numFmtId="0" fontId="18" fillId="18" borderId="6" xfId="0" applyFont="1" applyFill="1" applyBorder="1">
      <alignment vertical="center"/>
    </xf>
    <xf numFmtId="0" fontId="18" fillId="18" borderId="7" xfId="0" applyFont="1" applyFill="1" applyBorder="1">
      <alignment vertical="center"/>
    </xf>
    <xf numFmtId="0" fontId="18" fillId="18" borderId="4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19" borderId="1" xfId="0" applyFill="1" applyBorder="1">
      <alignment vertical="center"/>
    </xf>
    <xf numFmtId="0" fontId="7" fillId="19" borderId="1" xfId="0" applyFont="1" applyFill="1" applyBorder="1" applyAlignment="1">
      <alignment horizontal="right" vertical="center"/>
    </xf>
    <xf numFmtId="0" fontId="0" fillId="2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6"/>
          <c:order val="0"/>
          <c:tx>
            <c:strRef>
              <c:f>'Newton-f3f3'!$E$3</c:f>
              <c:strCache>
                <c:ptCount val="1"/>
                <c:pt idx="0">
                  <c:v>Z33( r)</c:v>
                </c:pt>
              </c:strCache>
            </c:strRef>
          </c:tx>
          <c:xVal>
            <c:numRef>
              <c:f>'Newton-f3f3'!$D$4:$D$18</c:f>
              <c:numCache>
                <c:formatCode>General</c:formatCode>
                <c:ptCount val="15"/>
                <c:pt idx="0">
                  <c:v>2</c:v>
                </c:pt>
                <c:pt idx="1">
                  <c:v>2.0002637827784837</c:v>
                </c:pt>
                <c:pt idx="2">
                  <c:v>2.0268352718867964</c:v>
                </c:pt>
                <c:pt idx="3">
                  <c:v>2.2472540213975138</c:v>
                </c:pt>
                <c:pt idx="4">
                  <c:v>2.5976155064581921</c:v>
                </c:pt>
                <c:pt idx="5">
                  <c:v>2.7288276994304419</c:v>
                </c:pt>
                <c:pt idx="6">
                  <c:v>2.7370804211576707</c:v>
                </c:pt>
                <c:pt idx="7">
                  <c:v>2.7371074103752595</c:v>
                </c:pt>
                <c:pt idx="8">
                  <c:v>2.7371074106596414</c:v>
                </c:pt>
                <c:pt idx="9">
                  <c:v>2.7371074106596414</c:v>
                </c:pt>
                <c:pt idx="10">
                  <c:v>2.7371074106596414</c:v>
                </c:pt>
                <c:pt idx="11">
                  <c:v>2.7371074106596414</c:v>
                </c:pt>
                <c:pt idx="12">
                  <c:v>2.7371074106596414</c:v>
                </c:pt>
                <c:pt idx="13">
                  <c:v>2.7371074106596414</c:v>
                </c:pt>
                <c:pt idx="14">
                  <c:v>2.7371074106596414</c:v>
                </c:pt>
              </c:numCache>
            </c:numRef>
          </c:xVal>
          <c:yVal>
            <c:numRef>
              <c:f>'Newton-f3f3'!$E$4:$E$18</c:f>
              <c:numCache>
                <c:formatCode>General</c:formatCode>
                <c:ptCount val="15"/>
                <c:pt idx="0">
                  <c:v>0</c:v>
                </c:pt>
                <c:pt idx="1">
                  <c:v>1.9470271605487393</c:v>
                </c:pt>
                <c:pt idx="2">
                  <c:v>19.616528492702034</c:v>
                </c:pt>
                <c:pt idx="3">
                  <c:v>59.01319405019207</c:v>
                </c:pt>
                <c:pt idx="4">
                  <c:v>90.510343709882591</c:v>
                </c:pt>
                <c:pt idx="5">
                  <c:v>99.467080554894466</c:v>
                </c:pt>
                <c:pt idx="6">
                  <c:v>99.998268465999345</c:v>
                </c:pt>
                <c:pt idx="7">
                  <c:v>99.999999981755437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F4-4F91-99D2-A68695180CEC}"/>
            </c:ext>
          </c:extLst>
        </c:ser>
        <c:ser>
          <c:idx val="5"/>
          <c:order val="1"/>
          <c:tx>
            <c:strRef>
              <c:f>'Newton-fnewfnew'!$G$3</c:f>
              <c:strCache>
                <c:ptCount val="1"/>
                <c:pt idx="0">
                  <c:v>Znewnew( r)</c:v>
                </c:pt>
              </c:strCache>
            </c:strRef>
          </c:tx>
          <c:xVal>
            <c:numRef>
              <c:f>'Newton-fnewfnew'!$D$4:$D$18</c:f>
              <c:numCache>
                <c:formatCode>General</c:formatCode>
                <c:ptCount val="15"/>
                <c:pt idx="0">
                  <c:v>2</c:v>
                </c:pt>
                <c:pt idx="1">
                  <c:v>2.000168916451281</c:v>
                </c:pt>
                <c:pt idx="2">
                  <c:v>2.0137313441077316</c:v>
                </c:pt>
                <c:pt idx="3">
                  <c:v>2.112627369434696</c:v>
                </c:pt>
                <c:pt idx="4">
                  <c:v>2.2552625546748675</c:v>
                </c:pt>
                <c:pt idx="5">
                  <c:v>2.3024534862754993</c:v>
                </c:pt>
                <c:pt idx="6">
                  <c:v>2.3048709553901703</c:v>
                </c:pt>
                <c:pt idx="7">
                  <c:v>2.3048763345134584</c:v>
                </c:pt>
                <c:pt idx="8">
                  <c:v>2.3048763345393803</c:v>
                </c:pt>
                <c:pt idx="9">
                  <c:v>2.3048763345393803</c:v>
                </c:pt>
                <c:pt idx="10">
                  <c:v>2.3048763345393803</c:v>
                </c:pt>
                <c:pt idx="11">
                  <c:v>2.3048763345393803</c:v>
                </c:pt>
                <c:pt idx="12">
                  <c:v>2.3048763345393803</c:v>
                </c:pt>
                <c:pt idx="13">
                  <c:v>2.3048763345393803</c:v>
                </c:pt>
                <c:pt idx="14">
                  <c:v>2.3048763345393803</c:v>
                </c:pt>
              </c:numCache>
            </c:numRef>
          </c:xVal>
          <c:yVal>
            <c:numRef>
              <c:f>'Newton-fnewfnew'!$G$4:$G$18</c:f>
              <c:numCache>
                <c:formatCode>General</c:formatCode>
                <c:ptCount val="15"/>
                <c:pt idx="0">
                  <c:v>35.964565560576297</c:v>
                </c:pt>
                <c:pt idx="1">
                  <c:v>37.521874456983326</c:v>
                </c:pt>
                <c:pt idx="2">
                  <c:v>49.942720709936779</c:v>
                </c:pt>
                <c:pt idx="3">
                  <c:v>75.50770125861888</c:v>
                </c:pt>
                <c:pt idx="4">
                  <c:v>94.777294127550505</c:v>
                </c:pt>
                <c:pt idx="5">
                  <c:v>99.75641008938085</c:v>
                </c:pt>
                <c:pt idx="6">
                  <c:v>99.99946038360973</c:v>
                </c:pt>
                <c:pt idx="7">
                  <c:v>99.999999997399613</c:v>
                </c:pt>
                <c:pt idx="8">
                  <c:v>99.999999999999986</c:v>
                </c:pt>
                <c:pt idx="9">
                  <c:v>99.999999999999986</c:v>
                </c:pt>
                <c:pt idx="10">
                  <c:v>99.999999999999986</c:v>
                </c:pt>
                <c:pt idx="11">
                  <c:v>99.999999999999986</c:v>
                </c:pt>
                <c:pt idx="12">
                  <c:v>99.999999999999986</c:v>
                </c:pt>
                <c:pt idx="13">
                  <c:v>99.999999999999986</c:v>
                </c:pt>
                <c:pt idx="14">
                  <c:v>99.999999999999986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F4-4F91-99D2-A68695180CEC}"/>
            </c:ext>
          </c:extLst>
        </c:ser>
        <c:ser>
          <c:idx val="4"/>
          <c:order val="2"/>
          <c:tx>
            <c:strRef>
              <c:f>'Newton-fnewf3'!$G$3</c:f>
              <c:strCache>
                <c:ptCount val="1"/>
                <c:pt idx="0">
                  <c:v>Znew3( r)</c:v>
                </c:pt>
              </c:strCache>
            </c:strRef>
          </c:tx>
          <c:xVal>
            <c:numRef>
              <c:f>'Newton-fnewf3'!$D$4:$D$18</c:f>
              <c:numCache>
                <c:formatCode>General</c:formatCode>
                <c:ptCount val="15"/>
                <c:pt idx="0">
                  <c:v>2</c:v>
                </c:pt>
                <c:pt idx="1">
                  <c:v>2.0000085596703596</c:v>
                </c:pt>
                <c:pt idx="2">
                  <c:v>2.0009287999844751</c:v>
                </c:pt>
                <c:pt idx="3">
                  <c:v>2.0258096339717744</c:v>
                </c:pt>
                <c:pt idx="4">
                  <c:v>2.1851679304734342</c:v>
                </c:pt>
                <c:pt idx="5">
                  <c:v>2.4259994820769371</c:v>
                </c:pt>
                <c:pt idx="6">
                  <c:v>2.5132455967154819</c:v>
                </c:pt>
                <c:pt idx="7">
                  <c:v>2.5184470659743465</c:v>
                </c:pt>
                <c:pt idx="8">
                  <c:v>2.5184624492556535</c:v>
                </c:pt>
                <c:pt idx="9">
                  <c:v>2.5184624493879411</c:v>
                </c:pt>
                <c:pt idx="10">
                  <c:v>2.5184624493879411</c:v>
                </c:pt>
                <c:pt idx="11">
                  <c:v>2.5184624493879411</c:v>
                </c:pt>
                <c:pt idx="12">
                  <c:v>2.5184624493879411</c:v>
                </c:pt>
                <c:pt idx="13">
                  <c:v>2.5184624493879411</c:v>
                </c:pt>
                <c:pt idx="14">
                  <c:v>2.5184624493879411</c:v>
                </c:pt>
              </c:numCache>
            </c:numRef>
          </c:xVal>
          <c:yVal>
            <c:numRef>
              <c:f>'Newton-fnewf3'!$G$4:$G$18</c:f>
              <c:numCache>
                <c:formatCode>General</c:formatCode>
                <c:ptCount val="15"/>
                <c:pt idx="0">
                  <c:v>0</c:v>
                </c:pt>
                <c:pt idx="1">
                  <c:v>3.5689097805191525</c:v>
                </c:pt>
                <c:pt idx="2">
                  <c:v>12.030180882661689</c:v>
                </c:pt>
                <c:pt idx="3">
                  <c:v>32.554872343617703</c:v>
                </c:pt>
                <c:pt idx="4">
                  <c:v>66.484795480383696</c:v>
                </c:pt>
                <c:pt idx="5">
                  <c:v>92.409113344878065</c:v>
                </c:pt>
                <c:pt idx="6">
                  <c:v>99.593725781269569</c:v>
                </c:pt>
                <c:pt idx="7">
                  <c:v>99.998805496809979</c:v>
                </c:pt>
                <c:pt idx="8">
                  <c:v>99.999999989728138</c:v>
                </c:pt>
                <c:pt idx="9">
                  <c:v>100.00000000000003</c:v>
                </c:pt>
                <c:pt idx="10">
                  <c:v>100.00000000000003</c:v>
                </c:pt>
                <c:pt idx="11">
                  <c:v>100.00000000000003</c:v>
                </c:pt>
                <c:pt idx="12">
                  <c:v>100.00000000000003</c:v>
                </c:pt>
                <c:pt idx="13">
                  <c:v>100.00000000000003</c:v>
                </c:pt>
                <c:pt idx="14">
                  <c:v>100.00000000000003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FF4-4F91-99D2-A68695180CEC}"/>
            </c:ext>
          </c:extLst>
        </c:ser>
        <c:ser>
          <c:idx val="3"/>
          <c:order val="3"/>
          <c:tx>
            <c:strRef>
              <c:f>'Newton-f1f3'!$G$3</c:f>
              <c:strCache>
                <c:ptCount val="1"/>
                <c:pt idx="0">
                  <c:v>Z13( r)</c:v>
                </c:pt>
              </c:strCache>
            </c:strRef>
          </c:tx>
          <c:xVal>
            <c:numRef>
              <c:f>'Newton-f1f3'!$D$4:$D$18</c:f>
              <c:numCache>
                <c:formatCode>General</c:formatCode>
                <c:ptCount val="15"/>
                <c:pt idx="0">
                  <c:v>2</c:v>
                </c:pt>
                <c:pt idx="1">
                  <c:v>2.0000056342185757</c:v>
                </c:pt>
                <c:pt idx="2">
                  <c:v>2.0004494841425191</c:v>
                </c:pt>
                <c:pt idx="3">
                  <c:v>2.0110157899089951</c:v>
                </c:pt>
                <c:pt idx="4">
                  <c:v>2.1013846394535198</c:v>
                </c:pt>
                <c:pt idx="5">
                  <c:v>2.3613583703758518</c:v>
                </c:pt>
                <c:pt idx="6">
                  <c:v>2.5454783265771423</c:v>
                </c:pt>
                <c:pt idx="7">
                  <c:v>2.568728788135286</c:v>
                </c:pt>
                <c:pt idx="8">
                  <c:v>2.5689725147135625</c:v>
                </c:pt>
                <c:pt idx="9">
                  <c:v>2.5689725403850803</c:v>
                </c:pt>
                <c:pt idx="10">
                  <c:v>2.5689725403850803</c:v>
                </c:pt>
                <c:pt idx="11">
                  <c:v>2.5689725403850803</c:v>
                </c:pt>
                <c:pt idx="12">
                  <c:v>2.5689725403850803</c:v>
                </c:pt>
                <c:pt idx="13">
                  <c:v>2.5689725403850803</c:v>
                </c:pt>
                <c:pt idx="14">
                  <c:v>2.5689725403850803</c:v>
                </c:pt>
              </c:numCache>
            </c:numRef>
          </c:xVal>
          <c:yVal>
            <c:numRef>
              <c:f>'Newton-f1f3'!$G$4:$G$18</c:f>
              <c:numCache>
                <c:formatCode>General</c:formatCode>
                <c:ptCount val="15"/>
                <c:pt idx="0">
                  <c:v>0</c:v>
                </c:pt>
                <c:pt idx="1">
                  <c:v>4.8626784093713482</c:v>
                </c:pt>
                <c:pt idx="2">
                  <c:v>14.534871901703047</c:v>
                </c:pt>
                <c:pt idx="3">
                  <c:v>32.455224582792297</c:v>
                </c:pt>
                <c:pt idx="4">
                  <c:v>58.172020287429405</c:v>
                </c:pt>
                <c:pt idx="5">
                  <c:v>85.531934554196269</c:v>
                </c:pt>
                <c:pt idx="6">
                  <c:v>98.512147756842509</c:v>
                </c:pt>
                <c:pt idx="7">
                  <c:v>99.984720364738678</c:v>
                </c:pt>
                <c:pt idx="8">
                  <c:v>99.999998390947795</c:v>
                </c:pt>
                <c:pt idx="9">
                  <c:v>100.00000000000006</c:v>
                </c:pt>
                <c:pt idx="10">
                  <c:v>100.00000000000006</c:v>
                </c:pt>
                <c:pt idx="11">
                  <c:v>100.00000000000006</c:v>
                </c:pt>
                <c:pt idx="12">
                  <c:v>100.00000000000006</c:v>
                </c:pt>
                <c:pt idx="13">
                  <c:v>100.00000000000006</c:v>
                </c:pt>
                <c:pt idx="14">
                  <c:v>100.00000000000006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FF4-4F91-99D2-A68695180CEC}"/>
            </c:ext>
          </c:extLst>
        </c:ser>
        <c:ser>
          <c:idx val="2"/>
          <c:order val="4"/>
          <c:tx>
            <c:strRef>
              <c:f>'Newton-f2f3'!$G$3</c:f>
              <c:strCache>
                <c:ptCount val="1"/>
                <c:pt idx="0">
                  <c:v>Z23( r)</c:v>
                </c:pt>
              </c:strCache>
            </c:strRef>
          </c:tx>
          <c:xVal>
            <c:numRef>
              <c:f>'Newton-f2f3'!$D$4:$D$18</c:f>
              <c:numCache>
                <c:formatCode>General</c:formatCode>
                <c:ptCount val="15"/>
                <c:pt idx="0">
                  <c:v>2</c:v>
                </c:pt>
                <c:pt idx="1">
                  <c:v>2.0000052090039158</c:v>
                </c:pt>
                <c:pt idx="2">
                  <c:v>2.0003911172658317</c:v>
                </c:pt>
                <c:pt idx="3">
                  <c:v>2.0091279330536143</c:v>
                </c:pt>
                <c:pt idx="4">
                  <c:v>2.0811252167823437</c:v>
                </c:pt>
                <c:pt idx="5">
                  <c:v>2.2928608067103311</c:v>
                </c:pt>
                <c:pt idx="6">
                  <c:v>2.4658916291716713</c:v>
                </c:pt>
                <c:pt idx="7">
                  <c:v>2.4937668763384244</c:v>
                </c:pt>
                <c:pt idx="8">
                  <c:v>2.4942049369008292</c:v>
                </c:pt>
                <c:pt idx="9">
                  <c:v>2.4942050385211254</c:v>
                </c:pt>
                <c:pt idx="10">
                  <c:v>2.4942050385211254</c:v>
                </c:pt>
                <c:pt idx="11">
                  <c:v>2.4942050385211254</c:v>
                </c:pt>
                <c:pt idx="12">
                  <c:v>2.4942050385211254</c:v>
                </c:pt>
                <c:pt idx="13">
                  <c:v>2.4942050385211254</c:v>
                </c:pt>
                <c:pt idx="14">
                  <c:v>2.4942050385211254</c:v>
                </c:pt>
              </c:numCache>
            </c:numRef>
          </c:xVal>
          <c:yVal>
            <c:numRef>
              <c:f>'Newton-f2f3'!$G$4:$G$18</c:f>
              <c:numCache>
                <c:formatCode>General</c:formatCode>
                <c:ptCount val="15"/>
                <c:pt idx="0">
                  <c:v>0</c:v>
                </c:pt>
                <c:pt idx="1">
                  <c:v>5.1574443332172928</c:v>
                </c:pt>
                <c:pt idx="2">
                  <c:v>15.183260808844821</c:v>
                </c:pt>
                <c:pt idx="3">
                  <c:v>33.44547210715146</c:v>
                </c:pt>
                <c:pt idx="4">
                  <c:v>58.761003001181571</c:v>
                </c:pt>
                <c:pt idx="5">
                  <c:v>84.692659839672203</c:v>
                </c:pt>
                <c:pt idx="6">
                  <c:v>98.081627749637306</c:v>
                </c:pt>
                <c:pt idx="7">
                  <c:v>99.970757632437227</c:v>
                </c:pt>
                <c:pt idx="8">
                  <c:v>99.999993219567685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FF4-4F91-99D2-A68695180CEC}"/>
            </c:ext>
          </c:extLst>
        </c:ser>
        <c:ser>
          <c:idx val="1"/>
          <c:order val="5"/>
          <c:tx>
            <c:strRef>
              <c:f>'Newton-f7f3'!$G$3</c:f>
              <c:strCache>
                <c:ptCount val="1"/>
                <c:pt idx="0">
                  <c:v>Z73( r)</c:v>
                </c:pt>
              </c:strCache>
            </c:strRef>
          </c:tx>
          <c:xVal>
            <c:numRef>
              <c:f>'Newton-f7f3'!$D$4:$D$18</c:f>
              <c:numCache>
                <c:formatCode>General</c:formatCode>
                <c:ptCount val="15"/>
                <c:pt idx="0">
                  <c:v>2</c:v>
                </c:pt>
                <c:pt idx="1">
                  <c:v>2.0148335960653574</c:v>
                </c:pt>
                <c:pt idx="2">
                  <c:v>2.3867259836546939</c:v>
                </c:pt>
                <c:pt idx="3">
                  <c:v>2.8864353165034835</c:v>
                </c:pt>
                <c:pt idx="4">
                  <c:v>3.0297929951770359</c:v>
                </c:pt>
                <c:pt idx="5">
                  <c:v>3.0362631345546842</c:v>
                </c:pt>
                <c:pt idx="6">
                  <c:v>3.036274766257232</c:v>
                </c:pt>
                <c:pt idx="7">
                  <c:v>3.0362747662943042</c:v>
                </c:pt>
                <c:pt idx="8">
                  <c:v>3.0362747662943042</c:v>
                </c:pt>
                <c:pt idx="9">
                  <c:v>3.0362747662943042</c:v>
                </c:pt>
                <c:pt idx="10">
                  <c:v>3.0362747662943042</c:v>
                </c:pt>
                <c:pt idx="11">
                  <c:v>3.0362747662943042</c:v>
                </c:pt>
                <c:pt idx="12">
                  <c:v>3.0362747662943042</c:v>
                </c:pt>
                <c:pt idx="13">
                  <c:v>3.0362747662943042</c:v>
                </c:pt>
                <c:pt idx="14">
                  <c:v>3.0362747662943042</c:v>
                </c:pt>
              </c:numCache>
            </c:numRef>
          </c:xVal>
          <c:yVal>
            <c:numRef>
              <c:f>'Newton-f7f3'!$G$4:$G$18</c:f>
              <c:numCache>
                <c:formatCode>General</c:formatCode>
                <c:ptCount val="15"/>
                <c:pt idx="0">
                  <c:v>0</c:v>
                </c:pt>
                <c:pt idx="1">
                  <c:v>5.0752062974200634</c:v>
                </c:pt>
                <c:pt idx="2">
                  <c:v>53.636561050566577</c:v>
                </c:pt>
                <c:pt idx="3">
                  <c:v>91.097731794316957</c:v>
                </c:pt>
                <c:pt idx="4">
                  <c:v>99.630540767121033</c:v>
                </c:pt>
                <c:pt idx="5">
                  <c:v>99.999338180544896</c:v>
                </c:pt>
                <c:pt idx="6">
                  <c:v>99.999999997890697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FF4-4F91-99D2-A68695180CEC}"/>
            </c:ext>
          </c:extLst>
        </c:ser>
        <c:ser>
          <c:idx val="0"/>
          <c:order val="6"/>
          <c:tx>
            <c:strRef>
              <c:f>'Newton-fpmaxf3'!$G$3</c:f>
              <c:strCache>
                <c:ptCount val="1"/>
                <c:pt idx="0">
                  <c:v>Zpmax3( 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'Newton-fpmaxf3'!$D$4:$D$18</c:f>
              <c:numCache>
                <c:formatCode>General</c:formatCode>
                <c:ptCount val="15"/>
                <c:pt idx="0">
                  <c:v>2</c:v>
                </c:pt>
                <c:pt idx="1">
                  <c:v>2.0000041674647053</c:v>
                </c:pt>
                <c:pt idx="2">
                  <c:v>2.0002632191758956</c:v>
                </c:pt>
                <c:pt idx="3">
                  <c:v>2.0053358594777317</c:v>
                </c:pt>
                <c:pt idx="4">
                  <c:v>2.0423419560813083</c:v>
                </c:pt>
                <c:pt idx="5">
                  <c:v>2.1451757548421275</c:v>
                </c:pt>
                <c:pt idx="6">
                  <c:v>2.2390234634008808</c:v>
                </c:pt>
                <c:pt idx="7">
                  <c:v>2.2594571607720773</c:v>
                </c:pt>
                <c:pt idx="8">
                  <c:v>2.2600085446873228</c:v>
                </c:pt>
                <c:pt idx="9">
                  <c:v>2.2600089098597671</c:v>
                </c:pt>
                <c:pt idx="10">
                  <c:v>2.2600089098598821</c:v>
                </c:pt>
                <c:pt idx="11">
                  <c:v>2.2600089098598821</c:v>
                </c:pt>
                <c:pt idx="12">
                  <c:v>2.2600089098598821</c:v>
                </c:pt>
                <c:pt idx="13">
                  <c:v>2.2600089098598821</c:v>
                </c:pt>
                <c:pt idx="14">
                  <c:v>2.2600089098598821</c:v>
                </c:pt>
              </c:numCache>
            </c:numRef>
          </c:xVal>
          <c:yVal>
            <c:numRef>
              <c:f>'Newton-fpmaxf3'!$G$4:$G$18</c:f>
              <c:numCache>
                <c:formatCode>General</c:formatCode>
                <c:ptCount val="15"/>
                <c:pt idx="0">
                  <c:v>0</c:v>
                </c:pt>
                <c:pt idx="1">
                  <c:v>6.0967211789535893</c:v>
                </c:pt>
                <c:pt idx="2">
                  <c:v>17.188012425140816</c:v>
                </c:pt>
                <c:pt idx="3">
                  <c:v>36.50039470020274</c:v>
                </c:pt>
                <c:pt idx="4">
                  <c:v>61.616427248466699</c:v>
                </c:pt>
                <c:pt idx="5">
                  <c:v>85.12083496803271</c:v>
                </c:pt>
                <c:pt idx="6">
                  <c:v>97.653109104712101</c:v>
                </c:pt>
                <c:pt idx="7">
                  <c:v>99.93984255279355</c:v>
                </c:pt>
                <c:pt idx="8">
                  <c:v>99.999960211398118</c:v>
                </c:pt>
                <c:pt idx="9">
                  <c:v>99.999999999987452</c:v>
                </c:pt>
                <c:pt idx="10">
                  <c:v>99.999999999999986</c:v>
                </c:pt>
                <c:pt idx="11">
                  <c:v>99.999999999999986</c:v>
                </c:pt>
                <c:pt idx="12">
                  <c:v>99.999999999999986</c:v>
                </c:pt>
                <c:pt idx="13">
                  <c:v>99.999999999999986</c:v>
                </c:pt>
                <c:pt idx="14">
                  <c:v>99.999999999999986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FF4-4F91-99D2-A6869518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750640"/>
        <c:axId val="1634752720"/>
      </c:scatterChart>
      <c:valAx>
        <c:axId val="1634750640"/>
        <c:scaling>
          <c:orientation val="minMax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D/a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4752720"/>
        <c:crosses val="autoZero"/>
        <c:crossBetween val="midCat"/>
      </c:valAx>
      <c:valAx>
        <c:axId val="16347527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特性インピーダンス </a:t>
                </a:r>
                <a:r>
                  <a:rPr lang="en-US" altLang="ja-JP"/>
                  <a:t>Z0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4750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'Indirect Computation'!$C$14</c:f>
              <c:strCache>
                <c:ptCount val="1"/>
                <c:pt idx="0">
                  <c:v>GAP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'Indirect Computation'!$D$13:$N$13</c:f>
              <c:strCache>
                <c:ptCount val="11"/>
                <c:pt idx="0">
                  <c:v>GAP11</c:v>
                </c:pt>
                <c:pt idx="1">
                  <c:v>GAP22</c:v>
                </c:pt>
                <c:pt idx="2">
                  <c:v>GAP77</c:v>
                </c:pt>
                <c:pt idx="3">
                  <c:v>GAPpmaxpmax</c:v>
                </c:pt>
                <c:pt idx="4">
                  <c:v>GAP33</c:v>
                </c:pt>
                <c:pt idx="5">
                  <c:v>GAPnewnew</c:v>
                </c:pt>
                <c:pt idx="6">
                  <c:v>GAPnew3</c:v>
                </c:pt>
                <c:pt idx="7">
                  <c:v>GAP13</c:v>
                </c:pt>
                <c:pt idx="8">
                  <c:v>GAP23</c:v>
                </c:pt>
                <c:pt idx="9">
                  <c:v>GAP73</c:v>
                </c:pt>
                <c:pt idx="10">
                  <c:v>GAPpmax3</c:v>
                </c:pt>
              </c:strCache>
            </c:strRef>
          </c:cat>
          <c:val>
            <c:numRef>
              <c:f>'Indirect Computation'!$D$14:$N$14</c:f>
              <c:numCache>
                <c:formatCode>General</c:formatCode>
                <c:ptCount val="11"/>
                <c:pt idx="0">
                  <c:v>0.18171952948828052</c:v>
                </c:pt>
                <c:pt idx="1">
                  <c:v>3.1719529488280607E-2</c:v>
                </c:pt>
                <c:pt idx="2">
                  <c:v>0.78171952948828038</c:v>
                </c:pt>
                <c:pt idx="3">
                  <c:v>-0.46163651931868177</c:v>
                </c:pt>
                <c:pt idx="4">
                  <c:v>0.44226444639578477</c:v>
                </c:pt>
                <c:pt idx="5">
                  <c:v>0.1829258007236283</c:v>
                </c:pt>
                <c:pt idx="6">
                  <c:v>0.31107746963276472</c:v>
                </c:pt>
                <c:pt idx="7">
                  <c:v>0.34138352423104812</c:v>
                </c:pt>
                <c:pt idx="8">
                  <c:v>0.2965230231126752</c:v>
                </c:pt>
                <c:pt idx="9">
                  <c:v>0.62176485977658236</c:v>
                </c:pt>
                <c:pt idx="10">
                  <c:v>0.15600534591592918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7-45EB-9094-6CD8977CF8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32066880"/>
        <c:axId val="332080192"/>
      </c:barChart>
      <c:catAx>
        <c:axId val="33206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080192"/>
        <c:crosses val="autoZero"/>
        <c:auto val="1"/>
        <c:lblAlgn val="ctr"/>
        <c:lblOffset val="100"/>
        <c:noMultiLvlLbl val="0"/>
      </c:catAx>
      <c:valAx>
        <c:axId val="332080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206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'Direct Computation'!$E$4</c:f>
              <c:strCache>
                <c:ptCount val="1"/>
                <c:pt idx="0">
                  <c:v>Z11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Computation'!$E$5:$E$48</c:f>
              <c:numCache>
                <c:formatCode>General</c:formatCode>
                <c:ptCount val="44"/>
                <c:pt idx="0">
                  <c:v>83.095790727922562</c:v>
                </c:pt>
                <c:pt idx="1">
                  <c:v>87.989608388713037</c:v>
                </c:pt>
                <c:pt idx="2">
                  <c:v>94.521754761799102</c:v>
                </c:pt>
                <c:pt idx="3">
                  <c:v>99.85071585933882</c:v>
                </c:pt>
                <c:pt idx="4">
                  <c:v>103.38162902228403</c:v>
                </c:pt>
                <c:pt idx="5">
                  <c:v>104.95284266933095</c:v>
                </c:pt>
                <c:pt idx="6">
                  <c:v>110.72875878644362</c:v>
                </c:pt>
                <c:pt idx="7">
                  <c:v>111.82822420910422</c:v>
                </c:pt>
                <c:pt idx="8">
                  <c:v>113.00162886464825</c:v>
                </c:pt>
                <c:pt idx="9">
                  <c:v>114.54851336190076</c:v>
                </c:pt>
                <c:pt idx="10">
                  <c:v>119.07289502862329</c:v>
                </c:pt>
                <c:pt idx="11">
                  <c:v>120.70929661179088</c:v>
                </c:pt>
                <c:pt idx="12">
                  <c:v>124.85145386524526</c:v>
                </c:pt>
                <c:pt idx="13">
                  <c:v>127.63953034537897</c:v>
                </c:pt>
                <c:pt idx="14">
                  <c:v>131.70371227153004</c:v>
                </c:pt>
                <c:pt idx="15">
                  <c:v>135.63461804698713</c:v>
                </c:pt>
                <c:pt idx="16">
                  <c:v>138.55597066893449</c:v>
                </c:pt>
                <c:pt idx="17">
                  <c:v>139.44071185364606</c:v>
                </c:pt>
                <c:pt idx="18">
                  <c:v>143.12967630540655</c:v>
                </c:pt>
                <c:pt idx="19">
                  <c:v>146.70850580665379</c:v>
                </c:pt>
                <c:pt idx="20">
                  <c:v>150.18358637437947</c:v>
                </c:pt>
                <c:pt idx="21">
                  <c:v>164.30363873367179</c:v>
                </c:pt>
                <c:pt idx="22">
                  <c:v>166.19158145584512</c:v>
                </c:pt>
                <c:pt idx="23">
                  <c:v>180.31163381513747</c:v>
                </c:pt>
                <c:pt idx="24">
                  <c:v>192.94245105804418</c:v>
                </c:pt>
                <c:pt idx="25">
                  <c:v>214.79950299945259</c:v>
                </c:pt>
                <c:pt idx="26">
                  <c:v>233.27937710230202</c:v>
                </c:pt>
                <c:pt idx="27">
                  <c:v>249.28737218376767</c:v>
                </c:pt>
                <c:pt idx="28">
                  <c:v>263.40742454306007</c:v>
                </c:pt>
                <c:pt idx="29">
                  <c:v>276.03824178596676</c:v>
                </c:pt>
                <c:pt idx="30">
                  <c:v>287.4642058198433</c:v>
                </c:pt>
                <c:pt idx="31">
                  <c:v>297.89529372737513</c:v>
                </c:pt>
                <c:pt idx="32">
                  <c:v>307.49096441994499</c:v>
                </c:pt>
                <c:pt idx="33">
                  <c:v>316.3751678302246</c:v>
                </c:pt>
                <c:pt idx="34">
                  <c:v>324.64616332957422</c:v>
                </c:pt>
                <c:pt idx="35">
                  <c:v>332.38316291169025</c:v>
                </c:pt>
                <c:pt idx="36">
                  <c:v>339.650956864698</c:v>
                </c:pt>
                <c:pt idx="37">
                  <c:v>346.50321527098259</c:v>
                </c:pt>
                <c:pt idx="38">
                  <c:v>352.98489568449264</c:v>
                </c:pt>
                <c:pt idx="39">
                  <c:v>359.13403251388934</c:v>
                </c:pt>
                <c:pt idx="40">
                  <c:v>364.98308937383206</c:v>
                </c:pt>
                <c:pt idx="41">
                  <c:v>370.55999654776588</c:v>
                </c:pt>
                <c:pt idx="42">
                  <c:v>375.8889576453056</c:v>
                </c:pt>
                <c:pt idx="43">
                  <c:v>380.99108445529771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D6-4501-9DE2-825A81450F1A}"/>
            </c:ext>
          </c:extLst>
        </c:ser>
        <c:ser>
          <c:idx val="1"/>
          <c:order val="1"/>
          <c:tx>
            <c:strRef>
              <c:f>'Direct Computation'!$F$4</c:f>
              <c:strCache>
                <c:ptCount val="1"/>
                <c:pt idx="0">
                  <c:v>Z22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Computation'!$F$5:$F$48</c:f>
              <c:numCache>
                <c:formatCode>General</c:formatCode>
                <c:ptCount val="44"/>
                <c:pt idx="0">
                  <c:v>97.215843087214893</c:v>
                </c:pt>
                <c:pt idx="1">
                  <c:v>101.57566483077184</c:v>
                </c:pt>
                <c:pt idx="2">
                  <c:v>107.42472169071476</c:v>
                </c:pt>
                <c:pt idx="3">
                  <c:v>112.22063662233867</c:v>
                </c:pt>
                <c:pt idx="4">
                  <c:v>115.4099437884658</c:v>
                </c:pt>
                <c:pt idx="5">
                  <c:v>116.83204688468136</c:v>
                </c:pt>
                <c:pt idx="6">
                  <c:v>122.07479971792203</c:v>
                </c:pt>
                <c:pt idx="7">
                  <c:v>123.07539345189427</c:v>
                </c:pt>
                <c:pt idx="8">
                  <c:v>124.1441840544703</c:v>
                </c:pt>
                <c:pt idx="9">
                  <c:v>125.55457544213334</c:v>
                </c:pt>
                <c:pt idx="10">
                  <c:v>129.6888432429505</c:v>
                </c:pt>
                <c:pt idx="11">
                  <c:v>131.18742973488111</c:v>
                </c:pt>
                <c:pt idx="12">
                  <c:v>134.98835294979983</c:v>
                </c:pt>
                <c:pt idx="13">
                  <c:v>137.55276913147276</c:v>
                </c:pt>
                <c:pt idx="14">
                  <c:v>141.29938296409983</c:v>
                </c:pt>
                <c:pt idx="15">
                  <c:v>144.93244539330294</c:v>
                </c:pt>
                <c:pt idx="16">
                  <c:v>147.6382277928449</c:v>
                </c:pt>
                <c:pt idx="17">
                  <c:v>148.45863740294629</c:v>
                </c:pt>
                <c:pt idx="18">
                  <c:v>151.88406715811635</c:v>
                </c:pt>
                <c:pt idx="19">
                  <c:v>155.21433367336019</c:v>
                </c:pt>
                <c:pt idx="20">
                  <c:v>158.45458187372907</c:v>
                </c:pt>
                <c:pt idx="21">
                  <c:v>171.683314995502</c:v>
                </c:pt>
                <c:pt idx="22">
                  <c:v>173.45937540885285</c:v>
                </c:pt>
                <c:pt idx="23">
                  <c:v>186.79331422864752</c:v>
                </c:pt>
                <c:pt idx="24">
                  <c:v>198.79150791798693</c:v>
                </c:pt>
                <c:pt idx="25">
                  <c:v>219.69332066024327</c:v>
                </c:pt>
                <c:pt idx="26">
                  <c:v>237.48619067550061</c:v>
                </c:pt>
                <c:pt idx="27">
                  <c:v>252.97633663552816</c:v>
                </c:pt>
                <c:pt idx="28">
                  <c:v>266.69206522132998</c:v>
                </c:pt>
                <c:pt idx="29">
                  <c:v>278.99843873386118</c:v>
                </c:pt>
                <c:pt idx="30">
                  <c:v>290.15829414525911</c:v>
                </c:pt>
                <c:pt idx="31">
                  <c:v>300.36717274875895</c:v>
                </c:pt>
                <c:pt idx="32">
                  <c:v>309.77449794272559</c:v>
                </c:pt>
                <c:pt idx="33">
                  <c:v>318.49702650017753</c:v>
                </c:pt>
                <c:pt idx="34">
                  <c:v>326.62772720855713</c:v>
                </c:pt>
                <c:pt idx="35">
                  <c:v>334.24183402214402</c:v>
                </c:pt>
                <c:pt idx="36">
                  <c:v>341.40108846099048</c:v>
                </c:pt>
                <c:pt idx="37">
                  <c:v>348.1567847314044</c:v>
                </c:pt>
                <c:pt idx="38">
                  <c:v>354.55200146630023</c:v>
                </c:pt>
                <c:pt idx="39">
                  <c:v>360.62326763027494</c:v>
                </c:pt>
                <c:pt idx="40">
                  <c:v>366.40182646689703</c:v>
                </c:pt>
                <c:pt idx="41">
                  <c:v>371.91460853355068</c:v>
                </c:pt>
                <c:pt idx="42">
                  <c:v>377.1849906486388</c:v>
                </c:pt>
                <c:pt idx="43">
                  <c:v>382.23339490106503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D6-4501-9DE2-825A81450F1A}"/>
            </c:ext>
          </c:extLst>
        </c:ser>
        <c:ser>
          <c:idx val="2"/>
          <c:order val="2"/>
          <c:tx>
            <c:strRef>
              <c:f>'Direct Computation'!$G$4</c:f>
              <c:strCache>
                <c:ptCount val="1"/>
                <c:pt idx="0">
                  <c:v>Z77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Computation'!$G$5:$G$48</c:f>
              <c:numCache>
                <c:formatCode>General</c:formatCode>
                <c:ptCount val="44"/>
                <c:pt idx="0">
                  <c:v>0</c:v>
                </c:pt>
                <c:pt idx="1">
                  <c:v>9.5956706925694384</c:v>
                </c:pt>
                <c:pt idx="2">
                  <c:v>21.857051941408407</c:v>
                </c:pt>
                <c:pt idx="3">
                  <c:v>31.452722633978183</c:v>
                </c:pt>
                <c:pt idx="4">
                  <c:v>37.630673761122509</c:v>
                </c:pt>
                <c:pt idx="5">
                  <c:v>40.336926044257844</c:v>
                </c:pt>
                <c:pt idx="6">
                  <c:v>50.074500296310063</c:v>
                </c:pt>
                <c:pt idx="7">
                  <c:v>51.892562221876851</c:v>
                </c:pt>
                <c:pt idx="8">
                  <c:v>53.820998741159407</c:v>
                </c:pt>
                <c:pt idx="9">
                  <c:v>56.344921125723516</c:v>
                </c:pt>
                <c:pt idx="10">
                  <c:v>63.612715078731235</c:v>
                </c:pt>
                <c:pt idx="11">
                  <c:v>66.201373828987627</c:v>
                </c:pt>
                <c:pt idx="12">
                  <c:v>72.664702820390488</c:v>
                </c:pt>
                <c:pt idx="13">
                  <c:v>76.946653898525881</c:v>
                </c:pt>
                <c:pt idx="14">
                  <c:v>83.095790727922562</c:v>
                </c:pt>
                <c:pt idx="15">
                  <c:v>88.944847587865297</c:v>
                </c:pt>
                <c:pt idx="16">
                  <c:v>93.232689799516905</c:v>
                </c:pt>
                <c:pt idx="17">
                  <c:v>94.521754761799102</c:v>
                </c:pt>
                <c:pt idx="18">
                  <c:v>99.85071585933882</c:v>
                </c:pt>
                <c:pt idx="19">
                  <c:v>104.95284266933095</c:v>
                </c:pt>
                <c:pt idx="20">
                  <c:v>109.84666033012164</c:v>
                </c:pt>
                <c:pt idx="21">
                  <c:v>129.1797898869664</c:v>
                </c:pt>
                <c:pt idx="22">
                  <c:v>131.70371227153004</c:v>
                </c:pt>
                <c:pt idx="23">
                  <c:v>150.18358637437947</c:v>
                </c:pt>
                <c:pt idx="24">
                  <c:v>166.19158145584512</c:v>
                </c:pt>
                <c:pt idx="25">
                  <c:v>192.94245105804418</c:v>
                </c:pt>
                <c:pt idx="26">
                  <c:v>214.79950299945259</c:v>
                </c:pt>
                <c:pt idx="27">
                  <c:v>233.27937710230202</c:v>
                </c:pt>
                <c:pt idx="28">
                  <c:v>249.28737218376767</c:v>
                </c:pt>
                <c:pt idx="29">
                  <c:v>263.40742454306007</c:v>
                </c:pt>
                <c:pt idx="30">
                  <c:v>276.03824178596676</c:v>
                </c:pt>
                <c:pt idx="31">
                  <c:v>287.4642058198433</c:v>
                </c:pt>
                <c:pt idx="32">
                  <c:v>297.89529372737513</c:v>
                </c:pt>
                <c:pt idx="33">
                  <c:v>307.49096441994499</c:v>
                </c:pt>
                <c:pt idx="34">
                  <c:v>316.3751678302246</c:v>
                </c:pt>
                <c:pt idx="35">
                  <c:v>324.64616332957422</c:v>
                </c:pt>
                <c:pt idx="36">
                  <c:v>332.38316291169025</c:v>
                </c:pt>
                <c:pt idx="37">
                  <c:v>339.650956864698</c:v>
                </c:pt>
                <c:pt idx="38">
                  <c:v>346.50321527098259</c:v>
                </c:pt>
                <c:pt idx="39">
                  <c:v>352.98489568449264</c:v>
                </c:pt>
                <c:pt idx="40">
                  <c:v>359.13403251388934</c:v>
                </c:pt>
                <c:pt idx="41">
                  <c:v>364.98308937383206</c:v>
                </c:pt>
                <c:pt idx="42">
                  <c:v>370.55999654776588</c:v>
                </c:pt>
                <c:pt idx="43">
                  <c:v>375.8889576453056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D6-4501-9DE2-825A81450F1A}"/>
            </c:ext>
          </c:extLst>
        </c:ser>
        <c:ser>
          <c:idx val="3"/>
          <c:order val="3"/>
          <c:tx>
            <c:strRef>
              <c:f>'Direct Computation'!$H$4</c:f>
              <c:strCache>
                <c:ptCount val="1"/>
                <c:pt idx="0">
                  <c:v>Zpmaxpmax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Computation'!$H$5:$H$48</c:f>
              <c:numCache>
                <c:formatCode>General</c:formatCode>
                <c:ptCount val="44"/>
                <c:pt idx="0">
                  <c:v>151.88069015603998</c:v>
                </c:pt>
                <c:pt idx="1">
                  <c:v>156.35732500902088</c:v>
                </c:pt>
                <c:pt idx="2">
                  <c:v>162.35640309631333</c:v>
                </c:pt>
                <c:pt idx="3">
                  <c:v>167.26985051027876</c:v>
                </c:pt>
                <c:pt idx="4">
                  <c:v>170.53469349716781</c:v>
                </c:pt>
                <c:pt idx="5">
                  <c:v>171.989820461801</c:v>
                </c:pt>
                <c:pt idx="6">
                  <c:v>177.35091607682455</c:v>
                </c:pt>
                <c:pt idx="7">
                  <c:v>178.37350075124004</c:v>
                </c:pt>
                <c:pt idx="8">
                  <c:v>179.46557486402097</c:v>
                </c:pt>
                <c:pt idx="9">
                  <c:v>180.90636870625698</c:v>
                </c:pt>
                <c:pt idx="10">
                  <c:v>185.12767885551671</c:v>
                </c:pt>
                <c:pt idx="11">
                  <c:v>186.65706732746349</c:v>
                </c:pt>
                <c:pt idx="12">
                  <c:v>190.53437550853133</c:v>
                </c:pt>
                <c:pt idx="13">
                  <c:v>193.1489494775964</c:v>
                </c:pt>
                <c:pt idx="14">
                  <c:v>196.96690553768784</c:v>
                </c:pt>
                <c:pt idx="15">
                  <c:v>200.66701224931788</c:v>
                </c:pt>
                <c:pt idx="16">
                  <c:v>203.4213998842697</c:v>
                </c:pt>
                <c:pt idx="17">
                  <c:v>204.25632763745071</c:v>
                </c:pt>
                <c:pt idx="18">
                  <c:v>207.74129405853003</c:v>
                </c:pt>
                <c:pt idx="19">
                  <c:v>211.12780778788394</c:v>
                </c:pt>
                <c:pt idx="20">
                  <c:v>214.42127904510096</c:v>
                </c:pt>
                <c:pt idx="21">
                  <c:v>227.85275813213715</c:v>
                </c:pt>
                <c:pt idx="22">
                  <c:v>229.6543504422298</c:v>
                </c:pt>
                <c:pt idx="23">
                  <c:v>243.16820207998683</c:v>
                </c:pt>
                <c:pt idx="24">
                  <c:v>255.31184197960459</c:v>
                </c:pt>
                <c:pt idx="25">
                  <c:v>276.43439555259567</c:v>
                </c:pt>
                <c:pt idx="26">
                  <c:v>294.38685902507757</c:v>
                </c:pt>
                <c:pt idx="27">
                  <c:v>309.99776783232932</c:v>
                </c:pt>
                <c:pt idx="28">
                  <c:v>323.80806341303884</c:v>
                </c:pt>
                <c:pt idx="29">
                  <c:v>336.19049767675358</c:v>
                </c:pt>
                <c:pt idx="30">
                  <c:v>347.41285579656267</c:v>
                </c:pt>
                <c:pt idx="31">
                  <c:v>357.67400755547322</c:v>
                </c:pt>
                <c:pt idx="32">
                  <c:v>367.12569773217939</c:v>
                </c:pt>
                <c:pt idx="33">
                  <c:v>375.88635148903853</c:v>
                </c:pt>
                <c:pt idx="34">
                  <c:v>384.05016752975308</c:v>
                </c:pt>
                <c:pt idx="35">
                  <c:v>391.69330641632018</c:v>
                </c:pt>
                <c:pt idx="36">
                  <c:v>398.8782210367296</c:v>
                </c:pt>
                <c:pt idx="37">
                  <c:v>405.65676079237102</c:v>
                </c:pt>
                <c:pt idx="38">
                  <c:v>412.07244396608013</c:v>
                </c:pt>
                <c:pt idx="39">
                  <c:v>418.16215219920514</c:v>
                </c:pt>
                <c:pt idx="40">
                  <c:v>423.95741493209152</c:v>
                </c:pt>
                <c:pt idx="41">
                  <c:v>429.48539739840606</c:v>
                </c:pt>
                <c:pt idx="42">
                  <c:v>434.76967066632085</c:v>
                </c:pt>
                <c:pt idx="43">
                  <c:v>439.83081899367517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DD6-4501-9DE2-825A81450F1A}"/>
            </c:ext>
          </c:extLst>
        </c:ser>
        <c:ser>
          <c:idx val="4"/>
          <c:order val="4"/>
          <c:tx>
            <c:strRef>
              <c:f>'Direct Computation'!$J$4</c:f>
              <c:strCache>
                <c:ptCount val="1"/>
                <c:pt idx="0">
                  <c:v>Z33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Computation'!$J$5:$J$48</c:f>
              <c:numCache>
                <c:formatCode>General</c:formatCode>
                <c:ptCount val="44"/>
                <c:pt idx="0">
                  <c:v>0</c:v>
                </c:pt>
                <c:pt idx="1">
                  <c:v>34.487869184314413</c:v>
                </c:pt>
                <c:pt idx="2">
                  <c:v>53.175798551412882</c:v>
                </c:pt>
                <c:pt idx="3">
                  <c:v>64.867761930846697</c:v>
                </c:pt>
                <c:pt idx="4">
                  <c:v>71.723514764852538</c:v>
                </c:pt>
                <c:pt idx="5">
                  <c:v>74.609990224315212</c:v>
                </c:pt>
                <c:pt idx="6">
                  <c:v>84.55650862643067</c:v>
                </c:pt>
                <c:pt idx="7">
                  <c:v>86.35174596955595</c:v>
                </c:pt>
                <c:pt idx="8">
                  <c:v>88.238430065744922</c:v>
                </c:pt>
                <c:pt idx="9">
                  <c:v>90.682603382308969</c:v>
                </c:pt>
                <c:pt idx="10">
                  <c:v>97.58386684958883</c:v>
                </c:pt>
                <c:pt idx="11">
                  <c:v>100.00003780921335</c:v>
                </c:pt>
                <c:pt idx="12">
                  <c:v>105.95430129786592</c:v>
                </c:pt>
                <c:pt idx="13">
                  <c:v>109.84666033012164</c:v>
                </c:pt>
                <c:pt idx="14">
                  <c:v>115.37716153920454</c:v>
                </c:pt>
                <c:pt idx="15">
                  <c:v>120.58501583986802</c:v>
                </c:pt>
                <c:pt idx="16">
                  <c:v>124.37640456758929</c:v>
                </c:pt>
                <c:pt idx="17">
                  <c:v>125.51248739650683</c:v>
                </c:pt>
                <c:pt idx="18">
                  <c:v>130.19333535039945</c:v>
                </c:pt>
                <c:pt idx="19">
                  <c:v>134.65504770977114</c:v>
                </c:pt>
                <c:pt idx="20">
                  <c:v>138.92037059985958</c:v>
                </c:pt>
                <c:pt idx="21">
                  <c:v>155.69357349859908</c:v>
                </c:pt>
                <c:pt idx="22">
                  <c:v>157.87939541490417</c:v>
                </c:pt>
                <c:pt idx="23">
                  <c:v>173.8976073429109</c:v>
                </c:pt>
                <c:pt idx="24">
                  <c:v>187.83084626118398</c:v>
                </c:pt>
                <c:pt idx="25">
                  <c:v>211.32145435816437</c:v>
                </c:pt>
                <c:pt idx="26">
                  <c:v>230.75432307840907</c:v>
                </c:pt>
                <c:pt idx="27">
                  <c:v>247.36872581472596</c:v>
                </c:pt>
                <c:pt idx="28">
                  <c:v>261.8992162322931</c:v>
                </c:pt>
                <c:pt idx="29">
                  <c:v>274.82103024358116</c:v>
                </c:pt>
                <c:pt idx="30">
                  <c:v>286.46093371658208</c:v>
                </c:pt>
                <c:pt idx="31">
                  <c:v>297.05397230757677</c:v>
                </c:pt>
                <c:pt idx="32">
                  <c:v>306.77522395827333</c:v>
                </c:pt>
                <c:pt idx="33">
                  <c:v>315.75879082980839</c:v>
                </c:pt>
                <c:pt idx="34">
                  <c:v>324.10976739840652</c:v>
                </c:pt>
                <c:pt idx="35">
                  <c:v>331.91210635361921</c:v>
                </c:pt>
                <c:pt idx="36">
                  <c:v>339.23397092035253</c:v>
                </c:pt>
                <c:pt idx="37">
                  <c:v>346.13148461761358</c:v>
                </c:pt>
                <c:pt idx="38">
                  <c:v>352.65142449840471</c:v>
                </c:pt>
                <c:pt idx="39">
                  <c:v>358.83319762309003</c:v>
                </c:pt>
                <c:pt idx="40">
                  <c:v>364.71031904784809</c:v>
                </c:pt>
                <c:pt idx="41">
                  <c:v>370.31153552476957</c:v>
                </c:pt>
                <c:pt idx="42">
                  <c:v>375.66169252236801</c:v>
                </c:pt>
                <c:pt idx="43">
                  <c:v>380.78241208103742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DD6-4501-9DE2-825A81450F1A}"/>
            </c:ext>
          </c:extLst>
        </c:ser>
        <c:ser>
          <c:idx val="5"/>
          <c:order val="5"/>
          <c:tx>
            <c:strRef>
              <c:f>'Direct Computation'!$M$4</c:f>
              <c:strCache>
                <c:ptCount val="1"/>
                <c:pt idx="0">
                  <c:v>Znew3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Computation'!$M$5:$M$48</c:f>
              <c:numCache>
                <c:formatCode>General</c:formatCode>
                <c:ptCount val="44"/>
                <c:pt idx="0">
                  <c:v>0</c:v>
                </c:pt>
                <c:pt idx="1">
                  <c:v>49.161989298627709</c:v>
                </c:pt>
                <c:pt idx="2">
                  <c:v>68.504683212461813</c:v>
                </c:pt>
                <c:pt idx="3">
                  <c:v>80.342405784590866</c:v>
                </c:pt>
                <c:pt idx="4">
                  <c:v>87.221368872909864</c:v>
                </c:pt>
                <c:pt idx="5">
                  <c:v>90.106046779425299</c:v>
                </c:pt>
                <c:pt idx="6">
                  <c:v>100.00004275396735</c:v>
                </c:pt>
                <c:pt idx="7">
                  <c:v>101.77874319411303</c:v>
                </c:pt>
                <c:pt idx="8">
                  <c:v>103.64587458699334</c:v>
                </c:pt>
                <c:pt idx="9">
                  <c:v>106.06149374732375</c:v>
                </c:pt>
                <c:pt idx="10">
                  <c:v>112.86335735796675</c:v>
                </c:pt>
                <c:pt idx="11">
                  <c:v>115.23845300204796</c:v>
                </c:pt>
                <c:pt idx="12">
                  <c:v>121.07828515359017</c:v>
                </c:pt>
                <c:pt idx="13">
                  <c:v>124.88604093764833</c:v>
                </c:pt>
                <c:pt idx="14">
                  <c:v>130.28354089217291</c:v>
                </c:pt>
                <c:pt idx="15">
                  <c:v>135.352892474047</c:v>
                </c:pt>
                <c:pt idx="16">
                  <c:v>139.03560905168888</c:v>
                </c:pt>
                <c:pt idx="17">
                  <c:v>140.13786815035917</c:v>
                </c:pt>
                <c:pt idx="18">
                  <c:v>144.67333770505778</c:v>
                </c:pt>
                <c:pt idx="19">
                  <c:v>148.98762691279811</c:v>
                </c:pt>
                <c:pt idx="20">
                  <c:v>153.10412659882033</c:v>
                </c:pt>
                <c:pt idx="21">
                  <c:v>169.22041499306926</c:v>
                </c:pt>
                <c:pt idx="22">
                  <c:v>171.31253334935579</c:v>
                </c:pt>
                <c:pt idx="23">
                  <c:v>186.5904957802436</c:v>
                </c:pt>
                <c:pt idx="24">
                  <c:v>199.80801034040149</c:v>
                </c:pt>
                <c:pt idx="25">
                  <c:v>221.96044966653454</c:v>
                </c:pt>
                <c:pt idx="26">
                  <c:v>240.18676267407969</c:v>
                </c:pt>
                <c:pt idx="27">
                  <c:v>255.72191866218637</c:v>
                </c:pt>
                <c:pt idx="28">
                  <c:v>269.29103398153308</c:v>
                </c:pt>
                <c:pt idx="29">
                  <c:v>281.35858341207262</c:v>
                </c:pt>
                <c:pt idx="30">
                  <c:v>292.24062020135386</c:v>
                </c:pt>
                <c:pt idx="31">
                  <c:v>302.16206363283936</c:v>
                </c:pt>
                <c:pt idx="32">
                  <c:v>311.28865513488887</c:v>
                </c:pt>
                <c:pt idx="33">
                  <c:v>319.7460063648715</c:v>
                </c:pt>
                <c:pt idx="34">
                  <c:v>327.63155489472138</c:v>
                </c:pt>
                <c:pt idx="35">
                  <c:v>335.02238565444327</c:v>
                </c:pt>
                <c:pt idx="36">
                  <c:v>341.98052478178715</c:v>
                </c:pt>
                <c:pt idx="37">
                  <c:v>348.55662617427453</c:v>
                </c:pt>
                <c:pt idx="38">
                  <c:v>354.79260166442157</c:v>
                </c:pt>
                <c:pt idx="39">
                  <c:v>360.72353711342231</c:v>
                </c:pt>
                <c:pt idx="40">
                  <c:v>366.37911396612554</c:v>
                </c:pt>
                <c:pt idx="41">
                  <c:v>371.78468100381002</c:v>
                </c:pt>
                <c:pt idx="42">
                  <c:v>376.9620740331585</c:v>
                </c:pt>
                <c:pt idx="43">
                  <c:v>381.93025092352269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DD6-4501-9DE2-825A81450F1A}"/>
            </c:ext>
          </c:extLst>
        </c:ser>
        <c:ser>
          <c:idx val="6"/>
          <c:order val="6"/>
          <c:tx>
            <c:strRef>
              <c:f>'Direct Computation'!$N$4</c:f>
              <c:strCache>
                <c:ptCount val="1"/>
                <c:pt idx="0">
                  <c:v>Znewnew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Computation'!$N$5:$N$48</c:f>
              <c:numCache>
                <c:formatCode>General</c:formatCode>
                <c:ptCount val="44"/>
                <c:pt idx="0">
                  <c:v>35.964565560576297</c:v>
                </c:pt>
                <c:pt idx="1">
                  <c:v>70.079748298791017</c:v>
                </c:pt>
                <c:pt idx="2">
                  <c:v>88.252395824435766</c:v>
                </c:pt>
                <c:pt idx="3">
                  <c:v>99.508630714548318</c:v>
                </c:pt>
                <c:pt idx="4">
                  <c:v>106.06796408410578</c:v>
                </c:pt>
                <c:pt idx="5">
                  <c:v>108.8205432249204</c:v>
                </c:pt>
                <c:pt idx="6">
                  <c:v>118.26420831748364</c:v>
                </c:pt>
                <c:pt idx="7">
                  <c:v>119.96181953084461</c:v>
                </c:pt>
                <c:pt idx="8">
                  <c:v>121.74363608802567</c:v>
                </c:pt>
                <c:pt idx="9">
                  <c:v>124.04849481976984</c:v>
                </c:pt>
                <c:pt idx="10">
                  <c:v>130.53528052691408</c:v>
                </c:pt>
                <c:pt idx="11">
                  <c:v>132.79896029280994</c:v>
                </c:pt>
                <c:pt idx="12">
                  <c:v>138.36107601258252</c:v>
                </c:pt>
                <c:pt idx="13">
                  <c:v>141.9845007049629</c:v>
                </c:pt>
                <c:pt idx="14">
                  <c:v>147.11577924921374</c:v>
                </c:pt>
                <c:pt idx="15">
                  <c:v>151.92937010863506</c:v>
                </c:pt>
                <c:pt idx="16">
                  <c:v>155.42257111853698</c:v>
                </c:pt>
                <c:pt idx="17">
                  <c:v>156.46747584315676</c:v>
                </c:pt>
                <c:pt idx="18">
                  <c:v>160.76379475485552</c:v>
                </c:pt>
                <c:pt idx="19">
                  <c:v>164.84575476851134</c:v>
                </c:pt>
                <c:pt idx="20">
                  <c:v>168.73604267228535</c:v>
                </c:pt>
                <c:pt idx="21">
                  <c:v>183.92248444785193</c:v>
                </c:pt>
                <c:pt idx="22">
                  <c:v>185.88862723630388</c:v>
                </c:pt>
                <c:pt idx="23">
                  <c:v>200.20984559530467</c:v>
                </c:pt>
                <c:pt idx="24">
                  <c:v>212.54890658734308</c:v>
                </c:pt>
                <c:pt idx="25">
                  <c:v>233.13506603389897</c:v>
                </c:pt>
                <c:pt idx="26">
                  <c:v>250.00476781642806</c:v>
                </c:pt>
                <c:pt idx="27">
                  <c:v>264.35718366940358</c:v>
                </c:pt>
                <c:pt idx="28">
                  <c:v>276.89147766873504</c:v>
                </c:pt>
                <c:pt idx="29">
                  <c:v>288.05165452397972</c:v>
                </c:pt>
                <c:pt idx="30">
                  <c:v>298.1369186632943</c:v>
                </c:pt>
                <c:pt idx="31">
                  <c:v>307.35799285767467</c:v>
                </c:pt>
                <c:pt idx="32">
                  <c:v>315.86849017790274</c:v>
                </c:pt>
                <c:pt idx="33">
                  <c:v>323.78357010300846</c:v>
                </c:pt>
                <c:pt idx="34">
                  <c:v>331.19161025093064</c:v>
                </c:pt>
                <c:pt idx="35">
                  <c:v>338.16181073556265</c:v>
                </c:pt>
                <c:pt idx="36">
                  <c:v>344.74931567948698</c:v>
                </c:pt>
                <c:pt idx="37">
                  <c:v>350.99875928423592</c:v>
                </c:pt>
                <c:pt idx="38">
                  <c:v>356.94677931572738</c:v>
                </c:pt>
                <c:pt idx="39">
                  <c:v>362.62383494487909</c:v>
                </c:pt>
                <c:pt idx="40">
                  <c:v>368.05554474314852</c:v>
                </c:pt>
                <c:pt idx="41">
                  <c:v>373.26368683931861</c:v>
                </c:pt>
                <c:pt idx="42">
                  <c:v>378.26695691341854</c:v>
                </c:pt>
                <c:pt idx="43">
                  <c:v>383.08154983655345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DD6-4501-9DE2-825A81450F1A}"/>
            </c:ext>
          </c:extLst>
        </c:ser>
        <c:ser>
          <c:idx val="7"/>
          <c:order val="7"/>
          <c:tx>
            <c:strRef>
              <c:f>'Direct Computation'!$O$4</c:f>
              <c:strCache>
                <c:ptCount val="1"/>
                <c:pt idx="0">
                  <c:v>Z13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Computation'!$O$5:$O$48</c:f>
              <c:numCache>
                <c:formatCode>General</c:formatCode>
                <c:ptCount val="44"/>
                <c:pt idx="0">
                  <c:v>0</c:v>
                </c:pt>
                <c:pt idx="1">
                  <c:v>55.086968546916694</c:v>
                </c:pt>
                <c:pt idx="2">
                  <c:v>70.896190235720567</c:v>
                </c:pt>
                <c:pt idx="3">
                  <c:v>80.480385591696873</c:v>
                </c:pt>
                <c:pt idx="4">
                  <c:v>86.109777584164604</c:v>
                </c:pt>
                <c:pt idx="5">
                  <c:v>88.490285147991671</c:v>
                </c:pt>
                <c:pt idx="6">
                  <c:v>96.761755087017107</c:v>
                </c:pt>
                <c:pt idx="7">
                  <c:v>98.267809628235398</c:v>
                </c:pt>
                <c:pt idx="8">
                  <c:v>99.855326978026213</c:v>
                </c:pt>
                <c:pt idx="9">
                  <c:v>101.91936717440099</c:v>
                </c:pt>
                <c:pt idx="10">
                  <c:v>107.79421846216171</c:v>
                </c:pt>
                <c:pt idx="11">
                  <c:v>109.8678034052863</c:v>
                </c:pt>
                <c:pt idx="12">
                  <c:v>115.01542748829308</c:v>
                </c:pt>
                <c:pt idx="13">
                  <c:v>118.40935830644932</c:v>
                </c:pt>
                <c:pt idx="14">
                  <c:v>123.2704363830405</c:v>
                </c:pt>
                <c:pt idx="15">
                  <c:v>127.88863344969481</c:v>
                </c:pt>
                <c:pt idx="16">
                  <c:v>131.27487750203551</c:v>
                </c:pt>
                <c:pt idx="17">
                  <c:v>132.29342609929901</c:v>
                </c:pt>
                <c:pt idx="18">
                  <c:v>136.50835119443761</c:v>
                </c:pt>
                <c:pt idx="19">
                  <c:v>140.5526266165958</c:v>
                </c:pt>
                <c:pt idx="20">
                  <c:v>144.44223578006822</c:v>
                </c:pt>
                <c:pt idx="21">
                  <c:v>159.94067854447849</c:v>
                </c:pt>
                <c:pt idx="22">
                  <c:v>161.98217927690573</c:v>
                </c:pt>
                <c:pt idx="23">
                  <c:v>177.07558187549043</c:v>
                </c:pt>
                <c:pt idx="24">
                  <c:v>190.36949299175933</c:v>
                </c:pt>
                <c:pt idx="25">
                  <c:v>213.05338150157394</c:v>
                </c:pt>
                <c:pt idx="26">
                  <c:v>232.0134150246374</c:v>
                </c:pt>
                <c:pt idx="27">
                  <c:v>248.32619599792523</c:v>
                </c:pt>
                <c:pt idx="28">
                  <c:v>262.65223783092785</c:v>
                </c:pt>
                <c:pt idx="29">
                  <c:v>275.42896360812557</c:v>
                </c:pt>
                <c:pt idx="30">
                  <c:v>286.96213131569823</c:v>
                </c:pt>
                <c:pt idx="31">
                  <c:v>297.47433558787748</c:v>
                </c:pt>
                <c:pt idx="32">
                  <c:v>307.1328856945704</c:v>
                </c:pt>
                <c:pt idx="33">
                  <c:v>316.06682907677833</c:v>
                </c:pt>
                <c:pt idx="34">
                  <c:v>324.37785448999659</c:v>
                </c:pt>
                <c:pt idx="35">
                  <c:v>332.14755112524506</c:v>
                </c:pt>
                <c:pt idx="36">
                  <c:v>339.44239986205156</c:v>
                </c:pt>
                <c:pt idx="37">
                  <c:v>346.3173000681914</c:v>
                </c:pt>
                <c:pt idx="38">
                  <c:v>352.81812069330726</c:v>
                </c:pt>
                <c:pt idx="39">
                  <c:v>358.98358355533986</c:v>
                </c:pt>
                <c:pt idx="40">
                  <c:v>364.84667871943077</c:v>
                </c:pt>
                <c:pt idx="41">
                  <c:v>370.43574520509827</c:v>
                </c:pt>
                <c:pt idx="42">
                  <c:v>375.77530790287989</c:v>
                </c:pt>
                <c:pt idx="43">
                  <c:v>380.88673397777785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DD6-4501-9DE2-825A81450F1A}"/>
            </c:ext>
          </c:extLst>
        </c:ser>
        <c:ser>
          <c:idx val="8"/>
          <c:order val="8"/>
          <c:tx>
            <c:strRef>
              <c:f>'Direct Computation'!$P$4</c:f>
              <c:strCache>
                <c:ptCount val="1"/>
                <c:pt idx="0">
                  <c:v>Z23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Computation'!$P$5:$P$48</c:f>
              <c:numCache>
                <c:formatCode>General</c:formatCode>
                <c:ptCount val="44"/>
                <c:pt idx="0">
                  <c:v>0</c:v>
                </c:pt>
                <c:pt idx="1">
                  <c:v>59.18723038792595</c:v>
                </c:pt>
                <c:pt idx="2">
                  <c:v>75.580390049714893</c:v>
                </c:pt>
                <c:pt idx="3">
                  <c:v>85.319994961005008</c:v>
                </c:pt>
                <c:pt idx="4">
                  <c:v>90.981354173934065</c:v>
                </c:pt>
                <c:pt idx="5">
                  <c:v>93.364007390175857</c:v>
                </c:pt>
                <c:pt idx="6">
                  <c:v>101.59832112499826</c:v>
                </c:pt>
                <c:pt idx="7">
                  <c:v>103.09110102458467</c:v>
                </c:pt>
                <c:pt idx="8">
                  <c:v>104.6627340688143</c:v>
                </c:pt>
                <c:pt idx="9">
                  <c:v>106.7034009188703</c:v>
                </c:pt>
                <c:pt idx="10">
                  <c:v>112.49683911513816</c:v>
                </c:pt>
                <c:pt idx="11">
                  <c:v>114.53710286881552</c:v>
                </c:pt>
                <c:pt idx="12">
                  <c:v>119.59346395244917</c:v>
                </c:pt>
                <c:pt idx="13">
                  <c:v>122.92156974368871</c:v>
                </c:pt>
                <c:pt idx="14">
                  <c:v>127.68211203468901</c:v>
                </c:pt>
                <c:pt idx="15">
                  <c:v>132.19939948223006</c:v>
                </c:pt>
                <c:pt idx="16">
                  <c:v>135.50908438036464</c:v>
                </c:pt>
                <c:pt idx="17">
                  <c:v>136.50425947910881</c:v>
                </c:pt>
                <c:pt idx="18">
                  <c:v>140.62109830995928</c:v>
                </c:pt>
                <c:pt idx="19">
                  <c:v>144.56968391065485</c:v>
                </c:pt>
                <c:pt idx="20">
                  <c:v>148.36633458148191</c:v>
                </c:pt>
                <c:pt idx="21">
                  <c:v>163.49308493552661</c:v>
                </c:pt>
                <c:pt idx="22">
                  <c:v>165.48613633352065</c:v>
                </c:pt>
                <c:pt idx="23">
                  <c:v>180.23015955165306</c:v>
                </c:pt>
                <c:pt idx="24">
                  <c:v>193.23347836690294</c:v>
                </c:pt>
                <c:pt idx="25">
                  <c:v>215.46673069106785</c:v>
                </c:pt>
                <c:pt idx="26">
                  <c:v>234.09605970582916</c:v>
                </c:pt>
                <c:pt idx="27">
                  <c:v>250.15681892526493</c:v>
                </c:pt>
                <c:pt idx="28">
                  <c:v>264.28477605953378</c:v>
                </c:pt>
                <c:pt idx="29">
                  <c:v>276.90185692622282</c:v>
                </c:pt>
                <c:pt idx="30">
                  <c:v>288.30368687628953</c:v>
                </c:pt>
                <c:pt idx="31">
                  <c:v>298.7059788752394</c:v>
                </c:pt>
                <c:pt idx="32">
                  <c:v>308.27121335431451</c:v>
                </c:pt>
                <c:pt idx="33">
                  <c:v>317.12495324490862</c:v>
                </c:pt>
                <c:pt idx="34">
                  <c:v>325.36631154966801</c:v>
                </c:pt>
                <c:pt idx="35">
                  <c:v>333.07493325344461</c:v>
                </c:pt>
                <c:pt idx="36">
                  <c:v>340.31580468022986</c:v>
                </c:pt>
                <c:pt idx="37">
                  <c:v>347.14265767660407</c:v>
                </c:pt>
                <c:pt idx="38">
                  <c:v>353.60043605155698</c:v>
                </c:pt>
                <c:pt idx="39">
                  <c:v>359.72711916264933</c:v>
                </c:pt>
                <c:pt idx="40">
                  <c:v>365.555094384494</c:v>
                </c:pt>
                <c:pt idx="41">
                  <c:v>371.11220644186938</c:v>
                </c:pt>
                <c:pt idx="42">
                  <c:v>376.42257103035303</c:v>
                </c:pt>
                <c:pt idx="43">
                  <c:v>381.50721367800014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DD6-4501-9DE2-825A81450F1A}"/>
            </c:ext>
          </c:extLst>
        </c:ser>
        <c:ser>
          <c:idx val="9"/>
          <c:order val="9"/>
          <c:tx>
            <c:strRef>
              <c:f>'Direct Computation'!$Q$4</c:f>
              <c:strCache>
                <c:ptCount val="1"/>
                <c:pt idx="0">
                  <c:v>Z73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Computation'!$Q$5:$Q$48</c:f>
              <c:numCache>
                <c:formatCode>General</c:formatCode>
                <c:ptCount val="44"/>
                <c:pt idx="0">
                  <c:v>0</c:v>
                </c:pt>
                <c:pt idx="1">
                  <c:v>18.1915979391887</c:v>
                </c:pt>
                <c:pt idx="2">
                  <c:v>34.092025327986917</c:v>
                </c:pt>
                <c:pt idx="3">
                  <c:v>45.169322818676953</c:v>
                </c:pt>
                <c:pt idx="4">
                  <c:v>51.951941110195484</c:v>
                </c:pt>
                <c:pt idx="5">
                  <c:v>54.859253165177186</c:v>
                </c:pt>
                <c:pt idx="6">
                  <c:v>65.070153805482477</c:v>
                </c:pt>
                <c:pt idx="7">
                  <c:v>66.940371605578093</c:v>
                </c:pt>
                <c:pt idx="8">
                  <c:v>68.913572200912213</c:v>
                </c:pt>
                <c:pt idx="9">
                  <c:v>71.480795568120726</c:v>
                </c:pt>
                <c:pt idx="10">
                  <c:v>78.788163566513845</c:v>
                </c:pt>
                <c:pt idx="11">
                  <c:v>81.364242059522866</c:v>
                </c:pt>
                <c:pt idx="12">
                  <c:v>87.744730989111488</c:v>
                </c:pt>
                <c:pt idx="13">
                  <c:v>91.936570277179698</c:v>
                </c:pt>
                <c:pt idx="14">
                  <c:v>97.91504720952473</c:v>
                </c:pt>
                <c:pt idx="15">
                  <c:v>103.56358363468011</c:v>
                </c:pt>
                <c:pt idx="16">
                  <c:v>107.68447773671593</c:v>
                </c:pt>
                <c:pt idx="17">
                  <c:v>108.92043221194092</c:v>
                </c:pt>
                <c:pt idx="18">
                  <c:v>114.01709404669262</c:v>
                </c:pt>
                <c:pt idx="19">
                  <c:v>118.87989753072158</c:v>
                </c:pt>
                <c:pt idx="20">
                  <c:v>123.5311246699284</c:v>
                </c:pt>
                <c:pt idx="21">
                  <c:v>141.81841598078859</c:v>
                </c:pt>
                <c:pt idx="22">
                  <c:v>144.19882963230893</c:v>
                </c:pt>
                <c:pt idx="23">
                  <c:v>161.60620759327901</c:v>
                </c:pt>
                <c:pt idx="24">
                  <c:v>176.68023484910776</c:v>
                </c:pt>
                <c:pt idx="25">
                  <c:v>201.92295403201402</c:v>
                </c:pt>
                <c:pt idx="26">
                  <c:v>222.63403583508381</c:v>
                </c:pt>
                <c:pt idx="27">
                  <c:v>240.22077818675345</c:v>
                </c:pt>
                <c:pt idx="28">
                  <c:v>255.51549344714243</c:v>
                </c:pt>
                <c:pt idx="29">
                  <c:v>269.0537117133531</c:v>
                </c:pt>
                <c:pt idx="30">
                  <c:v>281.20130242140004</c:v>
                </c:pt>
                <c:pt idx="31">
                  <c:v>292.21975332791459</c:v>
                </c:pt>
                <c:pt idx="32">
                  <c:v>302.30265537922611</c:v>
                </c:pt>
                <c:pt idx="33">
                  <c:v>311.59745685151773</c:v>
                </c:pt>
                <c:pt idx="34">
                  <c:v>320.21911569437248</c:v>
                </c:pt>
                <c:pt idx="35">
                  <c:v>328.2590316965248</c:v>
                </c:pt>
                <c:pt idx="36">
                  <c:v>335.7910961023224</c:v>
                </c:pt>
                <c:pt idx="37">
                  <c:v>342.87591042733078</c:v>
                </c:pt>
                <c:pt idx="38">
                  <c:v>349.56380312982833</c:v>
                </c:pt>
                <c:pt idx="39">
                  <c:v>355.89703402967456</c:v>
                </c:pt>
                <c:pt idx="40">
                  <c:v>361.91143609877935</c:v>
                </c:pt>
                <c:pt idx="41">
                  <c:v>367.63765893417116</c:v>
                </c:pt>
                <c:pt idx="42">
                  <c:v>373.10212473827664</c:v>
                </c:pt>
                <c:pt idx="43">
                  <c:v>378.32777318987087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DD6-4501-9DE2-825A81450F1A}"/>
            </c:ext>
          </c:extLst>
        </c:ser>
        <c:ser>
          <c:idx val="10"/>
          <c:order val="10"/>
          <c:tx>
            <c:strRef>
              <c:f>'Direct Computation'!$R$4</c:f>
              <c:strCache>
                <c:ptCount val="1"/>
                <c:pt idx="0">
                  <c:v>Zpmax3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Computation'!$D$5:$D$48</c:f>
              <c:numCache>
                <c:formatCode>General</c:formatCode>
                <c:ptCount val="44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xVal>
          <c:yVal>
            <c:numRef>
              <c:f>'Direct Computation'!$R$5:$R$48</c:f>
              <c:numCache>
                <c:formatCode>General</c:formatCode>
                <c:ptCount val="44"/>
                <c:pt idx="0">
                  <c:v>0</c:v>
                </c:pt>
                <c:pt idx="1">
                  <c:v>73.433173504353221</c:v>
                </c:pt>
                <c:pt idx="2">
                  <c:v>92.916260065617919</c:v>
                </c:pt>
                <c:pt idx="3">
                  <c:v>104.16535336237803</c:v>
                </c:pt>
                <c:pt idx="4">
                  <c:v>110.59542308325294</c:v>
                </c:pt>
                <c:pt idx="5">
                  <c:v>113.27911909675454</c:v>
                </c:pt>
                <c:pt idx="6">
                  <c:v>122.45886764606065</c:v>
                </c:pt>
                <c:pt idx="7">
                  <c:v>124.10827218429672</c:v>
                </c:pt>
                <c:pt idx="8">
                  <c:v>125.84021843928764</c:v>
                </c:pt>
                <c:pt idx="9">
                  <c:v>128.08224109033719</c:v>
                </c:pt>
                <c:pt idx="10">
                  <c:v>134.4078671938893</c:v>
                </c:pt>
                <c:pt idx="11">
                  <c:v>136.62252299713703</c:v>
                </c:pt>
                <c:pt idx="12">
                  <c:v>142.08425891080142</c:v>
                </c:pt>
                <c:pt idx="13">
                  <c:v>145.65976467915002</c:v>
                </c:pt>
                <c:pt idx="14">
                  <c:v>150.74973458715957</c:v>
                </c:pt>
                <c:pt idx="15">
                  <c:v>155.5552469401884</c:v>
                </c:pt>
                <c:pt idx="16">
                  <c:v>159.06232215616396</c:v>
                </c:pt>
                <c:pt idx="17">
                  <c:v>160.1147080947041</c:v>
                </c:pt>
                <c:pt idx="18">
                  <c:v>164.45829855464314</c:v>
                </c:pt>
                <c:pt idx="19">
                  <c:v>168.61027557814174</c:v>
                </c:pt>
                <c:pt idx="20">
                  <c:v>172.59050828316524</c:v>
                </c:pt>
                <c:pt idx="21">
                  <c:v>188.34863988121711</c:v>
                </c:pt>
                <c:pt idx="22">
                  <c:v>190.41452151089152</c:v>
                </c:pt>
                <c:pt idx="23">
                  <c:v>205.63649608857654</c:v>
                </c:pt>
                <c:pt idx="24">
                  <c:v>218.98730406014593</c:v>
                </c:pt>
                <c:pt idx="25">
                  <c:v>241.69509408094032</c:v>
                </c:pt>
                <c:pt idx="26">
                  <c:v>260.63583862836447</c:v>
                </c:pt>
                <c:pt idx="27">
                  <c:v>276.91831437102991</c:v>
                </c:pt>
                <c:pt idx="28">
                  <c:v>291.21311443266342</c:v>
                </c:pt>
                <c:pt idx="29">
                  <c:v>303.96088388085019</c:v>
                </c:pt>
                <c:pt idx="30">
                  <c:v>315.468240963536</c:v>
                </c:pt>
                <c:pt idx="31">
                  <c:v>325.95779594224086</c:v>
                </c:pt>
                <c:pt idx="32">
                  <c:v>335.5965854156247</c:v>
                </c:pt>
                <c:pt idx="33">
                  <c:v>344.51330864802185</c:v>
                </c:pt>
                <c:pt idx="34">
                  <c:v>352.80931176399997</c:v>
                </c:pt>
                <c:pt idx="35">
                  <c:v>360.56587522567139</c:v>
                </c:pt>
                <c:pt idx="36">
                  <c:v>367.84921209095432</c:v>
                </c:pt>
                <c:pt idx="37">
                  <c:v>374.71399341128898</c:v>
                </c:pt>
                <c:pt idx="38">
                  <c:v>381.20589497170323</c:v>
                </c:pt>
                <c:pt idx="39">
                  <c:v>387.3634755608665</c:v>
                </c:pt>
                <c:pt idx="40">
                  <c:v>393.21958758762776</c:v>
                </c:pt>
                <c:pt idx="41">
                  <c:v>398.80245359835698</c:v>
                </c:pt>
                <c:pt idx="42">
                  <c:v>404.13649963830613</c:v>
                </c:pt>
                <c:pt idx="43">
                  <c:v>409.24300869286674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CDD6-4501-9DE2-825A81450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050672"/>
        <c:axId val="1475051088"/>
      </c:scatterChart>
      <c:valAx>
        <c:axId val="1475050672"/>
        <c:scaling>
          <c:orientation val="minMax"/>
          <c:max val="27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D/a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051088"/>
        <c:crosses val="autoZero"/>
        <c:crossBetween val="midCat"/>
        <c:majorUnit val="2"/>
        <c:minorUnit val="2"/>
      </c:valAx>
      <c:valAx>
        <c:axId val="1475051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特性インピーダンス </a:t>
                </a:r>
                <a:r>
                  <a:rPr lang="en-US" altLang="ja-JP"/>
                  <a:t>Z0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050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45822397200348"/>
          <c:y val="5.8752248665546021E-2"/>
          <c:w val="0.20687510936132983"/>
          <c:h val="0.78886254386740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'Direct Computation'!$E$4</c:f>
              <c:strCache>
                <c:ptCount val="1"/>
                <c:pt idx="0">
                  <c:v>Z11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'Direct Computation'!$E$5:$E$29</c:f>
              <c:numCache>
                <c:formatCode>General</c:formatCode>
                <c:ptCount val="25"/>
                <c:pt idx="0">
                  <c:v>83.095790727922562</c:v>
                </c:pt>
                <c:pt idx="1">
                  <c:v>87.989608388713037</c:v>
                </c:pt>
                <c:pt idx="2">
                  <c:v>94.521754761799102</c:v>
                </c:pt>
                <c:pt idx="3">
                  <c:v>99.85071585933882</c:v>
                </c:pt>
                <c:pt idx="4">
                  <c:v>103.38162902228403</c:v>
                </c:pt>
                <c:pt idx="5">
                  <c:v>104.95284266933095</c:v>
                </c:pt>
                <c:pt idx="6">
                  <c:v>110.72875878644362</c:v>
                </c:pt>
                <c:pt idx="7">
                  <c:v>111.82822420910422</c:v>
                </c:pt>
                <c:pt idx="8">
                  <c:v>113.00162886464825</c:v>
                </c:pt>
                <c:pt idx="9">
                  <c:v>114.54851336190076</c:v>
                </c:pt>
                <c:pt idx="10">
                  <c:v>119.07289502862329</c:v>
                </c:pt>
                <c:pt idx="11">
                  <c:v>120.70929661179088</c:v>
                </c:pt>
                <c:pt idx="12">
                  <c:v>124.85145386524526</c:v>
                </c:pt>
                <c:pt idx="13">
                  <c:v>127.63953034537897</c:v>
                </c:pt>
                <c:pt idx="14">
                  <c:v>131.70371227153004</c:v>
                </c:pt>
                <c:pt idx="15">
                  <c:v>135.63461804698713</c:v>
                </c:pt>
                <c:pt idx="16">
                  <c:v>138.55597066893449</c:v>
                </c:pt>
                <c:pt idx="17">
                  <c:v>139.44071185364606</c:v>
                </c:pt>
                <c:pt idx="18">
                  <c:v>143.12967630540655</c:v>
                </c:pt>
                <c:pt idx="19">
                  <c:v>146.70850580665379</c:v>
                </c:pt>
                <c:pt idx="20">
                  <c:v>150.18358637437947</c:v>
                </c:pt>
                <c:pt idx="21">
                  <c:v>164.30363873367179</c:v>
                </c:pt>
                <c:pt idx="22">
                  <c:v>166.19158145584512</c:v>
                </c:pt>
                <c:pt idx="23">
                  <c:v>180.31163381513747</c:v>
                </c:pt>
                <c:pt idx="24">
                  <c:v>192.94245105804418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AC-4920-B3D4-AF92F6439CC1}"/>
            </c:ext>
          </c:extLst>
        </c:ser>
        <c:ser>
          <c:idx val="1"/>
          <c:order val="1"/>
          <c:tx>
            <c:strRef>
              <c:f>'Direct Computation'!$F$4</c:f>
              <c:strCache>
                <c:ptCount val="1"/>
                <c:pt idx="0">
                  <c:v>Z22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'Direct Computation'!$F$5:$F$29</c:f>
              <c:numCache>
                <c:formatCode>General</c:formatCode>
                <c:ptCount val="25"/>
                <c:pt idx="0">
                  <c:v>97.215843087214893</c:v>
                </c:pt>
                <c:pt idx="1">
                  <c:v>101.57566483077184</c:v>
                </c:pt>
                <c:pt idx="2">
                  <c:v>107.42472169071476</c:v>
                </c:pt>
                <c:pt idx="3">
                  <c:v>112.22063662233867</c:v>
                </c:pt>
                <c:pt idx="4">
                  <c:v>115.4099437884658</c:v>
                </c:pt>
                <c:pt idx="5">
                  <c:v>116.83204688468136</c:v>
                </c:pt>
                <c:pt idx="6">
                  <c:v>122.07479971792203</c:v>
                </c:pt>
                <c:pt idx="7">
                  <c:v>123.07539345189427</c:v>
                </c:pt>
                <c:pt idx="8">
                  <c:v>124.1441840544703</c:v>
                </c:pt>
                <c:pt idx="9">
                  <c:v>125.55457544213334</c:v>
                </c:pt>
                <c:pt idx="10">
                  <c:v>129.6888432429505</c:v>
                </c:pt>
                <c:pt idx="11">
                  <c:v>131.18742973488111</c:v>
                </c:pt>
                <c:pt idx="12">
                  <c:v>134.98835294979983</c:v>
                </c:pt>
                <c:pt idx="13">
                  <c:v>137.55276913147276</c:v>
                </c:pt>
                <c:pt idx="14">
                  <c:v>141.29938296409983</c:v>
                </c:pt>
                <c:pt idx="15">
                  <c:v>144.93244539330294</c:v>
                </c:pt>
                <c:pt idx="16">
                  <c:v>147.6382277928449</c:v>
                </c:pt>
                <c:pt idx="17">
                  <c:v>148.45863740294629</c:v>
                </c:pt>
                <c:pt idx="18">
                  <c:v>151.88406715811635</c:v>
                </c:pt>
                <c:pt idx="19">
                  <c:v>155.21433367336019</c:v>
                </c:pt>
                <c:pt idx="20">
                  <c:v>158.45458187372907</c:v>
                </c:pt>
                <c:pt idx="21">
                  <c:v>171.683314995502</c:v>
                </c:pt>
                <c:pt idx="22">
                  <c:v>173.45937540885285</c:v>
                </c:pt>
                <c:pt idx="23">
                  <c:v>186.79331422864752</c:v>
                </c:pt>
                <c:pt idx="24">
                  <c:v>198.79150791798693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AC-4920-B3D4-AF92F6439CC1}"/>
            </c:ext>
          </c:extLst>
        </c:ser>
        <c:ser>
          <c:idx val="2"/>
          <c:order val="2"/>
          <c:tx>
            <c:strRef>
              <c:f>'Direct Computation'!$G$4</c:f>
              <c:strCache>
                <c:ptCount val="1"/>
                <c:pt idx="0">
                  <c:v>Z77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'Direct Computation'!$G$5:$G$29</c:f>
              <c:numCache>
                <c:formatCode>General</c:formatCode>
                <c:ptCount val="25"/>
                <c:pt idx="0">
                  <c:v>0</c:v>
                </c:pt>
                <c:pt idx="1">
                  <c:v>9.5956706925694384</c:v>
                </c:pt>
                <c:pt idx="2">
                  <c:v>21.857051941408407</c:v>
                </c:pt>
                <c:pt idx="3">
                  <c:v>31.452722633978183</c:v>
                </c:pt>
                <c:pt idx="4">
                  <c:v>37.630673761122509</c:v>
                </c:pt>
                <c:pt idx="5">
                  <c:v>40.336926044257844</c:v>
                </c:pt>
                <c:pt idx="6">
                  <c:v>50.074500296310063</c:v>
                </c:pt>
                <c:pt idx="7">
                  <c:v>51.892562221876851</c:v>
                </c:pt>
                <c:pt idx="8">
                  <c:v>53.820998741159407</c:v>
                </c:pt>
                <c:pt idx="9">
                  <c:v>56.344921125723516</c:v>
                </c:pt>
                <c:pt idx="10">
                  <c:v>63.612715078731235</c:v>
                </c:pt>
                <c:pt idx="11">
                  <c:v>66.201373828987627</c:v>
                </c:pt>
                <c:pt idx="12">
                  <c:v>72.664702820390488</c:v>
                </c:pt>
                <c:pt idx="13">
                  <c:v>76.946653898525881</c:v>
                </c:pt>
                <c:pt idx="14">
                  <c:v>83.095790727922562</c:v>
                </c:pt>
                <c:pt idx="15">
                  <c:v>88.944847587865297</c:v>
                </c:pt>
                <c:pt idx="16">
                  <c:v>93.232689799516905</c:v>
                </c:pt>
                <c:pt idx="17">
                  <c:v>94.521754761799102</c:v>
                </c:pt>
                <c:pt idx="18">
                  <c:v>99.85071585933882</c:v>
                </c:pt>
                <c:pt idx="19">
                  <c:v>104.95284266933095</c:v>
                </c:pt>
                <c:pt idx="20">
                  <c:v>109.84666033012164</c:v>
                </c:pt>
                <c:pt idx="21">
                  <c:v>129.1797898869664</c:v>
                </c:pt>
                <c:pt idx="22">
                  <c:v>131.70371227153004</c:v>
                </c:pt>
                <c:pt idx="23">
                  <c:v>150.18358637437947</c:v>
                </c:pt>
                <c:pt idx="24">
                  <c:v>166.19158145584512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AC-4920-B3D4-AF92F6439CC1}"/>
            </c:ext>
          </c:extLst>
        </c:ser>
        <c:ser>
          <c:idx val="3"/>
          <c:order val="3"/>
          <c:tx>
            <c:strRef>
              <c:f>'Direct Computation'!$J$4</c:f>
              <c:strCache>
                <c:ptCount val="1"/>
                <c:pt idx="0">
                  <c:v>Z33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'Direct Computation'!$J$5:$J$29</c:f>
              <c:numCache>
                <c:formatCode>General</c:formatCode>
                <c:ptCount val="25"/>
                <c:pt idx="0">
                  <c:v>0</c:v>
                </c:pt>
                <c:pt idx="1">
                  <c:v>34.487869184314413</c:v>
                </c:pt>
                <c:pt idx="2">
                  <c:v>53.175798551412882</c:v>
                </c:pt>
                <c:pt idx="3">
                  <c:v>64.867761930846697</c:v>
                </c:pt>
                <c:pt idx="4">
                  <c:v>71.723514764852538</c:v>
                </c:pt>
                <c:pt idx="5">
                  <c:v>74.609990224315212</c:v>
                </c:pt>
                <c:pt idx="6">
                  <c:v>84.55650862643067</c:v>
                </c:pt>
                <c:pt idx="7">
                  <c:v>86.35174596955595</c:v>
                </c:pt>
                <c:pt idx="8">
                  <c:v>88.238430065744922</c:v>
                </c:pt>
                <c:pt idx="9">
                  <c:v>90.682603382308969</c:v>
                </c:pt>
                <c:pt idx="10">
                  <c:v>97.58386684958883</c:v>
                </c:pt>
                <c:pt idx="11">
                  <c:v>100.00003780921335</c:v>
                </c:pt>
                <c:pt idx="12">
                  <c:v>105.95430129786592</c:v>
                </c:pt>
                <c:pt idx="13">
                  <c:v>109.84666033012164</c:v>
                </c:pt>
                <c:pt idx="14">
                  <c:v>115.37716153920454</c:v>
                </c:pt>
                <c:pt idx="15">
                  <c:v>120.58501583986802</c:v>
                </c:pt>
                <c:pt idx="16">
                  <c:v>124.37640456758929</c:v>
                </c:pt>
                <c:pt idx="17">
                  <c:v>125.51248739650683</c:v>
                </c:pt>
                <c:pt idx="18">
                  <c:v>130.19333535039945</c:v>
                </c:pt>
                <c:pt idx="19">
                  <c:v>134.65504770977114</c:v>
                </c:pt>
                <c:pt idx="20">
                  <c:v>138.92037059985958</c:v>
                </c:pt>
                <c:pt idx="21">
                  <c:v>155.69357349859908</c:v>
                </c:pt>
                <c:pt idx="22">
                  <c:v>157.87939541490417</c:v>
                </c:pt>
                <c:pt idx="23">
                  <c:v>173.8976073429109</c:v>
                </c:pt>
                <c:pt idx="24">
                  <c:v>187.83084626118398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AC-4920-B3D4-AF92F6439CC1}"/>
            </c:ext>
          </c:extLst>
        </c:ser>
        <c:ser>
          <c:idx val="4"/>
          <c:order val="4"/>
          <c:tx>
            <c:strRef>
              <c:f>'Direct Computation'!$M$4</c:f>
              <c:strCache>
                <c:ptCount val="1"/>
                <c:pt idx="0">
                  <c:v>Znew3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'Direct Computation'!$M$5:$M$29</c:f>
              <c:numCache>
                <c:formatCode>General</c:formatCode>
                <c:ptCount val="25"/>
                <c:pt idx="0">
                  <c:v>0</c:v>
                </c:pt>
                <c:pt idx="1">
                  <c:v>49.161989298627709</c:v>
                </c:pt>
                <c:pt idx="2">
                  <c:v>68.504683212461813</c:v>
                </c:pt>
                <c:pt idx="3">
                  <c:v>80.342405784590866</c:v>
                </c:pt>
                <c:pt idx="4">
                  <c:v>87.221368872909864</c:v>
                </c:pt>
                <c:pt idx="5">
                  <c:v>90.106046779425299</c:v>
                </c:pt>
                <c:pt idx="6">
                  <c:v>100.00004275396735</c:v>
                </c:pt>
                <c:pt idx="7">
                  <c:v>101.77874319411303</c:v>
                </c:pt>
                <c:pt idx="8">
                  <c:v>103.64587458699334</c:v>
                </c:pt>
                <c:pt idx="9">
                  <c:v>106.06149374732375</c:v>
                </c:pt>
                <c:pt idx="10">
                  <c:v>112.86335735796675</c:v>
                </c:pt>
                <c:pt idx="11">
                  <c:v>115.23845300204796</c:v>
                </c:pt>
                <c:pt idx="12">
                  <c:v>121.07828515359017</c:v>
                </c:pt>
                <c:pt idx="13">
                  <c:v>124.88604093764833</c:v>
                </c:pt>
                <c:pt idx="14">
                  <c:v>130.28354089217291</c:v>
                </c:pt>
                <c:pt idx="15">
                  <c:v>135.352892474047</c:v>
                </c:pt>
                <c:pt idx="16">
                  <c:v>139.03560905168888</c:v>
                </c:pt>
                <c:pt idx="17">
                  <c:v>140.13786815035917</c:v>
                </c:pt>
                <c:pt idx="18">
                  <c:v>144.67333770505778</c:v>
                </c:pt>
                <c:pt idx="19">
                  <c:v>148.98762691279811</c:v>
                </c:pt>
                <c:pt idx="20">
                  <c:v>153.10412659882033</c:v>
                </c:pt>
                <c:pt idx="21">
                  <c:v>169.22041499306926</c:v>
                </c:pt>
                <c:pt idx="22">
                  <c:v>171.31253334935579</c:v>
                </c:pt>
                <c:pt idx="23">
                  <c:v>186.5904957802436</c:v>
                </c:pt>
                <c:pt idx="24">
                  <c:v>199.80801034040149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AC-4920-B3D4-AF92F6439CC1}"/>
            </c:ext>
          </c:extLst>
        </c:ser>
        <c:ser>
          <c:idx val="5"/>
          <c:order val="5"/>
          <c:tx>
            <c:strRef>
              <c:f>'Direct Computation'!$N$4</c:f>
              <c:strCache>
                <c:ptCount val="1"/>
                <c:pt idx="0">
                  <c:v>Znewnew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'Direct Computation'!$N$5:$N$29</c:f>
              <c:numCache>
                <c:formatCode>General</c:formatCode>
                <c:ptCount val="25"/>
                <c:pt idx="0">
                  <c:v>35.964565560576297</c:v>
                </c:pt>
                <c:pt idx="1">
                  <c:v>70.079748298791017</c:v>
                </c:pt>
                <c:pt idx="2">
                  <c:v>88.252395824435766</c:v>
                </c:pt>
                <c:pt idx="3">
                  <c:v>99.508630714548318</c:v>
                </c:pt>
                <c:pt idx="4">
                  <c:v>106.06796408410578</c:v>
                </c:pt>
                <c:pt idx="5">
                  <c:v>108.8205432249204</c:v>
                </c:pt>
                <c:pt idx="6">
                  <c:v>118.26420831748364</c:v>
                </c:pt>
                <c:pt idx="7">
                  <c:v>119.96181953084461</c:v>
                </c:pt>
                <c:pt idx="8">
                  <c:v>121.74363608802567</c:v>
                </c:pt>
                <c:pt idx="9">
                  <c:v>124.04849481976984</c:v>
                </c:pt>
                <c:pt idx="10">
                  <c:v>130.53528052691408</c:v>
                </c:pt>
                <c:pt idx="11">
                  <c:v>132.79896029280994</c:v>
                </c:pt>
                <c:pt idx="12">
                  <c:v>138.36107601258252</c:v>
                </c:pt>
                <c:pt idx="13">
                  <c:v>141.9845007049629</c:v>
                </c:pt>
                <c:pt idx="14">
                  <c:v>147.11577924921374</c:v>
                </c:pt>
                <c:pt idx="15">
                  <c:v>151.92937010863506</c:v>
                </c:pt>
                <c:pt idx="16">
                  <c:v>155.42257111853698</c:v>
                </c:pt>
                <c:pt idx="17">
                  <c:v>156.46747584315676</c:v>
                </c:pt>
                <c:pt idx="18">
                  <c:v>160.76379475485552</c:v>
                </c:pt>
                <c:pt idx="19">
                  <c:v>164.84575476851134</c:v>
                </c:pt>
                <c:pt idx="20">
                  <c:v>168.73604267228535</c:v>
                </c:pt>
                <c:pt idx="21">
                  <c:v>183.92248444785193</c:v>
                </c:pt>
                <c:pt idx="22">
                  <c:v>185.88862723630388</c:v>
                </c:pt>
                <c:pt idx="23">
                  <c:v>200.20984559530467</c:v>
                </c:pt>
                <c:pt idx="24">
                  <c:v>212.54890658734308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7AC-4920-B3D4-AF92F6439CC1}"/>
            </c:ext>
          </c:extLst>
        </c:ser>
        <c:ser>
          <c:idx val="6"/>
          <c:order val="6"/>
          <c:tx>
            <c:strRef>
              <c:f>'Direct Computation'!$O$4</c:f>
              <c:strCache>
                <c:ptCount val="1"/>
                <c:pt idx="0">
                  <c:v>Z13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'Direct Computation'!$O$5:$O$29</c:f>
              <c:numCache>
                <c:formatCode>General</c:formatCode>
                <c:ptCount val="25"/>
                <c:pt idx="0">
                  <c:v>0</c:v>
                </c:pt>
                <c:pt idx="1">
                  <c:v>55.086968546916694</c:v>
                </c:pt>
                <c:pt idx="2">
                  <c:v>70.896190235720567</c:v>
                </c:pt>
                <c:pt idx="3">
                  <c:v>80.480385591696873</c:v>
                </c:pt>
                <c:pt idx="4">
                  <c:v>86.109777584164604</c:v>
                </c:pt>
                <c:pt idx="5">
                  <c:v>88.490285147991671</c:v>
                </c:pt>
                <c:pt idx="6">
                  <c:v>96.761755087017107</c:v>
                </c:pt>
                <c:pt idx="7">
                  <c:v>98.267809628235398</c:v>
                </c:pt>
                <c:pt idx="8">
                  <c:v>99.855326978026213</c:v>
                </c:pt>
                <c:pt idx="9">
                  <c:v>101.91936717440099</c:v>
                </c:pt>
                <c:pt idx="10">
                  <c:v>107.79421846216171</c:v>
                </c:pt>
                <c:pt idx="11">
                  <c:v>109.8678034052863</c:v>
                </c:pt>
                <c:pt idx="12">
                  <c:v>115.01542748829308</c:v>
                </c:pt>
                <c:pt idx="13">
                  <c:v>118.40935830644932</c:v>
                </c:pt>
                <c:pt idx="14">
                  <c:v>123.2704363830405</c:v>
                </c:pt>
                <c:pt idx="15">
                  <c:v>127.88863344969481</c:v>
                </c:pt>
                <c:pt idx="16">
                  <c:v>131.27487750203551</c:v>
                </c:pt>
                <c:pt idx="17">
                  <c:v>132.29342609929901</c:v>
                </c:pt>
                <c:pt idx="18">
                  <c:v>136.50835119443761</c:v>
                </c:pt>
                <c:pt idx="19">
                  <c:v>140.5526266165958</c:v>
                </c:pt>
                <c:pt idx="20">
                  <c:v>144.44223578006822</c:v>
                </c:pt>
                <c:pt idx="21">
                  <c:v>159.94067854447849</c:v>
                </c:pt>
                <c:pt idx="22">
                  <c:v>161.98217927690573</c:v>
                </c:pt>
                <c:pt idx="23">
                  <c:v>177.07558187549043</c:v>
                </c:pt>
                <c:pt idx="24">
                  <c:v>190.36949299175933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7AC-4920-B3D4-AF92F6439CC1}"/>
            </c:ext>
          </c:extLst>
        </c:ser>
        <c:ser>
          <c:idx val="7"/>
          <c:order val="7"/>
          <c:tx>
            <c:strRef>
              <c:f>'Direct Computation'!$P$4</c:f>
              <c:strCache>
                <c:ptCount val="1"/>
                <c:pt idx="0">
                  <c:v>Z23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'Direct Computation'!$P$5:$P$29</c:f>
              <c:numCache>
                <c:formatCode>General</c:formatCode>
                <c:ptCount val="25"/>
                <c:pt idx="0">
                  <c:v>0</c:v>
                </c:pt>
                <c:pt idx="1">
                  <c:v>59.18723038792595</c:v>
                </c:pt>
                <c:pt idx="2">
                  <c:v>75.580390049714893</c:v>
                </c:pt>
                <c:pt idx="3">
                  <c:v>85.319994961005008</c:v>
                </c:pt>
                <c:pt idx="4">
                  <c:v>90.981354173934065</c:v>
                </c:pt>
                <c:pt idx="5">
                  <c:v>93.364007390175857</c:v>
                </c:pt>
                <c:pt idx="6">
                  <c:v>101.59832112499826</c:v>
                </c:pt>
                <c:pt idx="7">
                  <c:v>103.09110102458467</c:v>
                </c:pt>
                <c:pt idx="8">
                  <c:v>104.6627340688143</c:v>
                </c:pt>
                <c:pt idx="9">
                  <c:v>106.7034009188703</c:v>
                </c:pt>
                <c:pt idx="10">
                  <c:v>112.49683911513816</c:v>
                </c:pt>
                <c:pt idx="11">
                  <c:v>114.53710286881552</c:v>
                </c:pt>
                <c:pt idx="12">
                  <c:v>119.59346395244917</c:v>
                </c:pt>
                <c:pt idx="13">
                  <c:v>122.92156974368871</c:v>
                </c:pt>
                <c:pt idx="14">
                  <c:v>127.68211203468901</c:v>
                </c:pt>
                <c:pt idx="15">
                  <c:v>132.19939948223006</c:v>
                </c:pt>
                <c:pt idx="16">
                  <c:v>135.50908438036464</c:v>
                </c:pt>
                <c:pt idx="17">
                  <c:v>136.50425947910881</c:v>
                </c:pt>
                <c:pt idx="18">
                  <c:v>140.62109830995928</c:v>
                </c:pt>
                <c:pt idx="19">
                  <c:v>144.56968391065485</c:v>
                </c:pt>
                <c:pt idx="20">
                  <c:v>148.36633458148191</c:v>
                </c:pt>
                <c:pt idx="21">
                  <c:v>163.49308493552661</c:v>
                </c:pt>
                <c:pt idx="22">
                  <c:v>165.48613633352065</c:v>
                </c:pt>
                <c:pt idx="23">
                  <c:v>180.23015955165306</c:v>
                </c:pt>
                <c:pt idx="24">
                  <c:v>193.23347836690294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7AC-4920-B3D4-AF92F6439CC1}"/>
            </c:ext>
          </c:extLst>
        </c:ser>
        <c:ser>
          <c:idx val="8"/>
          <c:order val="8"/>
          <c:tx>
            <c:strRef>
              <c:f>'Direct Computation'!$Q$4</c:f>
              <c:strCache>
                <c:ptCount val="1"/>
                <c:pt idx="0">
                  <c:v>Z73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'Direct Computation'!$D$5:$D$29</c:f>
              <c:numCache>
                <c:formatCode>General</c:formatCode>
                <c:ptCount val="25"/>
                <c:pt idx="0">
                  <c:v>2</c:v>
                </c:pt>
                <c:pt idx="1">
                  <c:v>2.0833333333333299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2.3687499999999999</c:v>
                </c:pt>
                <c:pt idx="5">
                  <c:v>2.4</c:v>
                </c:pt>
                <c:pt idx="6">
                  <c:v>2.5184630000000001</c:v>
                </c:pt>
                <c:pt idx="7">
                  <c:v>2.5416666666666599</c:v>
                </c:pt>
                <c:pt idx="8">
                  <c:v>2.5666666666666602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2.8333333333333299</c:v>
                </c:pt>
                <c:pt idx="13">
                  <c:v>2.9</c:v>
                </c:pt>
                <c:pt idx="14">
                  <c:v>3</c:v>
                </c:pt>
                <c:pt idx="15">
                  <c:v>3.1</c:v>
                </c:pt>
                <c:pt idx="16">
                  <c:v>3.1764705879999999</c:v>
                </c:pt>
                <c:pt idx="17">
                  <c:v>3.2</c:v>
                </c:pt>
                <c:pt idx="18">
                  <c:v>3.3</c:v>
                </c:pt>
                <c:pt idx="19">
                  <c:v>3.4</c:v>
                </c:pt>
                <c:pt idx="20">
                  <c:v>3.5</c:v>
                </c:pt>
                <c:pt idx="21">
                  <c:v>3.9375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</c:numCache>
            </c:numRef>
          </c:xVal>
          <c:yVal>
            <c:numRef>
              <c:f>'Direct Computation'!$Q$5:$Q$29</c:f>
              <c:numCache>
                <c:formatCode>General</c:formatCode>
                <c:ptCount val="25"/>
                <c:pt idx="0">
                  <c:v>0</c:v>
                </c:pt>
                <c:pt idx="1">
                  <c:v>18.1915979391887</c:v>
                </c:pt>
                <c:pt idx="2">
                  <c:v>34.092025327986917</c:v>
                </c:pt>
                <c:pt idx="3">
                  <c:v>45.169322818676953</c:v>
                </c:pt>
                <c:pt idx="4">
                  <c:v>51.951941110195484</c:v>
                </c:pt>
                <c:pt idx="5">
                  <c:v>54.859253165177186</c:v>
                </c:pt>
                <c:pt idx="6">
                  <c:v>65.070153805482477</c:v>
                </c:pt>
                <c:pt idx="7">
                  <c:v>66.940371605578093</c:v>
                </c:pt>
                <c:pt idx="8">
                  <c:v>68.913572200912213</c:v>
                </c:pt>
                <c:pt idx="9">
                  <c:v>71.480795568120726</c:v>
                </c:pt>
                <c:pt idx="10">
                  <c:v>78.788163566513845</c:v>
                </c:pt>
                <c:pt idx="11">
                  <c:v>81.364242059522866</c:v>
                </c:pt>
                <c:pt idx="12">
                  <c:v>87.744730989111488</c:v>
                </c:pt>
                <c:pt idx="13">
                  <c:v>91.936570277179698</c:v>
                </c:pt>
                <c:pt idx="14">
                  <c:v>97.91504720952473</c:v>
                </c:pt>
                <c:pt idx="15">
                  <c:v>103.56358363468011</c:v>
                </c:pt>
                <c:pt idx="16">
                  <c:v>107.68447773671593</c:v>
                </c:pt>
                <c:pt idx="17">
                  <c:v>108.92043221194092</c:v>
                </c:pt>
                <c:pt idx="18">
                  <c:v>114.01709404669262</c:v>
                </c:pt>
                <c:pt idx="19">
                  <c:v>118.87989753072158</c:v>
                </c:pt>
                <c:pt idx="20">
                  <c:v>123.5311246699284</c:v>
                </c:pt>
                <c:pt idx="21">
                  <c:v>141.81841598078859</c:v>
                </c:pt>
                <c:pt idx="22">
                  <c:v>144.19882963230893</c:v>
                </c:pt>
                <c:pt idx="23">
                  <c:v>161.60620759327901</c:v>
                </c:pt>
                <c:pt idx="24">
                  <c:v>176.68023484910776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7AC-4920-B3D4-AF92F6439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840352"/>
        <c:axId val="1461858240"/>
      </c:scatterChart>
      <c:valAx>
        <c:axId val="14618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1858240"/>
        <c:crosses val="autoZero"/>
        <c:crossBetween val="midCat"/>
      </c:valAx>
      <c:valAx>
        <c:axId val="146185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1840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'Study of f3'!$O$2</c:f>
              <c:strCache>
                <c:ptCount val="1"/>
                <c:pt idx="0">
                  <c:v>α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'Study of f3'!$D$3:$D$41</c:f>
              <c:numCache>
                <c:formatCode>General</c:formatCode>
                <c:ptCount val="39"/>
                <c:pt idx="0">
                  <c:v>2</c:v>
                </c:pt>
                <c:pt idx="1">
                  <c:v>2.0009999999999999</c:v>
                </c:pt>
                <c:pt idx="2">
                  <c:v>2.0099999999999998</c:v>
                </c:pt>
                <c:pt idx="3">
                  <c:v>2.04</c:v>
                </c:pt>
                <c:pt idx="4">
                  <c:v>2.1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2.4</c:v>
                </c:pt>
                <c:pt idx="8">
                  <c:v>2.5184630000000001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2.9</c:v>
                </c:pt>
                <c:pt idx="13">
                  <c:v>3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</c:numCache>
            </c:numRef>
          </c:xVal>
          <c:yVal>
            <c:numRef>
              <c:f>'Study of f3'!$O$3:$O$41</c:f>
              <c:numCache>
                <c:formatCode>General</c:formatCode>
                <c:ptCount val="39"/>
                <c:pt idx="0">
                  <c:v>1</c:v>
                </c:pt>
                <c:pt idx="1">
                  <c:v>0.96887327079826413</c:v>
                </c:pt>
                <c:pt idx="2">
                  <c:v>0.90487507802749723</c:v>
                </c:pt>
                <c:pt idx="3">
                  <c:v>0.81900248757758232</c:v>
                </c:pt>
                <c:pt idx="4">
                  <c:v>0.72984378812835748</c:v>
                </c:pt>
                <c:pt idx="5">
                  <c:v>0.64174243050441593</c:v>
                </c:pt>
                <c:pt idx="6">
                  <c:v>0.58210916541997282</c:v>
                </c:pt>
                <c:pt idx="7">
                  <c:v>0.53667504192892013</c:v>
                </c:pt>
                <c:pt idx="8">
                  <c:v>0.49394464489777734</c:v>
                </c:pt>
                <c:pt idx="9">
                  <c:v>0.4693376137081926</c:v>
                </c:pt>
                <c:pt idx="10">
                  <c:v>0.44308214263914714</c:v>
                </c:pt>
                <c:pt idx="11">
                  <c:v>0.43424139122497118</c:v>
                </c:pt>
                <c:pt idx="12">
                  <c:v>0.39999999999999991</c:v>
                </c:pt>
                <c:pt idx="13">
                  <c:v>0.38196601125010554</c:v>
                </c:pt>
                <c:pt idx="14">
                  <c:v>0.36572807176729905</c:v>
                </c:pt>
                <c:pt idx="15">
                  <c:v>0.35100040032031998</c:v>
                </c:pt>
                <c:pt idx="16">
                  <c:v>0.3375595251593313</c:v>
                </c:pt>
                <c:pt idx="17">
                  <c:v>0.3252272915132477</c:v>
                </c:pt>
                <c:pt idx="18">
                  <c:v>0.26794919243112325</c:v>
                </c:pt>
                <c:pt idx="19">
                  <c:v>0.20871215252208142</c:v>
                </c:pt>
                <c:pt idx="20">
                  <c:v>0.17157287525380926</c:v>
                </c:pt>
                <c:pt idx="21">
                  <c:v>0.14589803375031618</c:v>
                </c:pt>
                <c:pt idx="22">
                  <c:v>0.1270166537925812</c:v>
                </c:pt>
                <c:pt idx="23">
                  <c:v>0.11251780630393782</c:v>
                </c:pt>
                <c:pt idx="24">
                  <c:v>0.10102051443364424</c:v>
                </c:pt>
                <c:pt idx="25">
                  <c:v>9.1673086804012982E-2</c:v>
                </c:pt>
                <c:pt idx="26">
                  <c:v>8.3920216900382982E-2</c:v>
                </c:pt>
                <c:pt idx="27">
                  <c:v>7.73837106674371E-2</c:v>
                </c:pt>
                <c:pt idx="28">
                  <c:v>7.1796769724487675E-2</c:v>
                </c:pt>
                <c:pt idx="29">
                  <c:v>6.6965626340749651E-2</c:v>
                </c:pt>
                <c:pt idx="30">
                  <c:v>6.274606680622874E-2</c:v>
                </c:pt>
                <c:pt idx="31">
                  <c:v>5.9028491932934912E-2</c:v>
                </c:pt>
                <c:pt idx="32">
                  <c:v>5.5728090000844333E-2</c:v>
                </c:pt>
                <c:pt idx="33">
                  <c:v>5.277818615440566E-2</c:v>
                </c:pt>
                <c:pt idx="34">
                  <c:v>5.0125628933802346E-2</c:v>
                </c:pt>
                <c:pt idx="35">
                  <c:v>4.7727519816564978E-2</c:v>
                </c:pt>
                <c:pt idx="36">
                  <c:v>4.5548849896672294E-2</c:v>
                </c:pt>
                <c:pt idx="37">
                  <c:v>4.3560762610400872E-2</c:v>
                </c:pt>
                <c:pt idx="38">
                  <c:v>4.1739256898601695E-2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BC-42E8-B92E-922FD3D55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488319"/>
        <c:axId val="919494975"/>
      </c:scatterChart>
      <c:valAx>
        <c:axId val="91948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9494975"/>
        <c:crosses val="autoZero"/>
        <c:crossBetween val="midCat"/>
      </c:valAx>
      <c:valAx>
        <c:axId val="919494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9488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'Study of f3'!$O$2</c:f>
              <c:strCache>
                <c:ptCount val="1"/>
                <c:pt idx="0">
                  <c:v>α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'Study of f3'!$D$3:$D$41</c:f>
              <c:numCache>
                <c:formatCode>General</c:formatCode>
                <c:ptCount val="39"/>
                <c:pt idx="0">
                  <c:v>2</c:v>
                </c:pt>
                <c:pt idx="1">
                  <c:v>2.0009999999999999</c:v>
                </c:pt>
                <c:pt idx="2">
                  <c:v>2.0099999999999998</c:v>
                </c:pt>
                <c:pt idx="3">
                  <c:v>2.04</c:v>
                </c:pt>
                <c:pt idx="4">
                  <c:v>2.1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2.4</c:v>
                </c:pt>
                <c:pt idx="8">
                  <c:v>2.5184630000000001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2.9</c:v>
                </c:pt>
                <c:pt idx="13">
                  <c:v>3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</c:numCache>
            </c:numRef>
          </c:xVal>
          <c:yVal>
            <c:numRef>
              <c:f>'Study of f3'!$O$3:$O$41</c:f>
              <c:numCache>
                <c:formatCode>General</c:formatCode>
                <c:ptCount val="39"/>
                <c:pt idx="0">
                  <c:v>1</c:v>
                </c:pt>
                <c:pt idx="1">
                  <c:v>0.96887327079826413</c:v>
                </c:pt>
                <c:pt idx="2">
                  <c:v>0.90487507802749723</c:v>
                </c:pt>
                <c:pt idx="3">
                  <c:v>0.81900248757758232</c:v>
                </c:pt>
                <c:pt idx="4">
                  <c:v>0.72984378812835748</c:v>
                </c:pt>
                <c:pt idx="5">
                  <c:v>0.64174243050441593</c:v>
                </c:pt>
                <c:pt idx="6">
                  <c:v>0.58210916541997282</c:v>
                </c:pt>
                <c:pt idx="7">
                  <c:v>0.53667504192892013</c:v>
                </c:pt>
                <c:pt idx="8">
                  <c:v>0.49394464489777734</c:v>
                </c:pt>
                <c:pt idx="9">
                  <c:v>0.4693376137081926</c:v>
                </c:pt>
                <c:pt idx="10">
                  <c:v>0.44308214263914714</c:v>
                </c:pt>
                <c:pt idx="11">
                  <c:v>0.43424139122497118</c:v>
                </c:pt>
                <c:pt idx="12">
                  <c:v>0.39999999999999991</c:v>
                </c:pt>
                <c:pt idx="13">
                  <c:v>0.38196601125010554</c:v>
                </c:pt>
                <c:pt idx="14">
                  <c:v>0.36572807176729905</c:v>
                </c:pt>
                <c:pt idx="15">
                  <c:v>0.35100040032031998</c:v>
                </c:pt>
                <c:pt idx="16">
                  <c:v>0.3375595251593313</c:v>
                </c:pt>
                <c:pt idx="17">
                  <c:v>0.3252272915132477</c:v>
                </c:pt>
                <c:pt idx="18">
                  <c:v>0.26794919243112325</c:v>
                </c:pt>
                <c:pt idx="19">
                  <c:v>0.20871215252208142</c:v>
                </c:pt>
                <c:pt idx="20">
                  <c:v>0.17157287525380926</c:v>
                </c:pt>
                <c:pt idx="21">
                  <c:v>0.14589803375031618</c:v>
                </c:pt>
                <c:pt idx="22">
                  <c:v>0.1270166537925812</c:v>
                </c:pt>
                <c:pt idx="23">
                  <c:v>0.11251780630393782</c:v>
                </c:pt>
                <c:pt idx="24">
                  <c:v>0.10102051443364424</c:v>
                </c:pt>
                <c:pt idx="25">
                  <c:v>9.1673086804012982E-2</c:v>
                </c:pt>
                <c:pt idx="26">
                  <c:v>8.3920216900382982E-2</c:v>
                </c:pt>
                <c:pt idx="27">
                  <c:v>7.73837106674371E-2</c:v>
                </c:pt>
                <c:pt idx="28">
                  <c:v>7.1796769724487675E-2</c:v>
                </c:pt>
                <c:pt idx="29">
                  <c:v>6.6965626340749651E-2</c:v>
                </c:pt>
                <c:pt idx="30">
                  <c:v>6.274606680622874E-2</c:v>
                </c:pt>
                <c:pt idx="31">
                  <c:v>5.9028491932934912E-2</c:v>
                </c:pt>
                <c:pt idx="32">
                  <c:v>5.5728090000844333E-2</c:v>
                </c:pt>
                <c:pt idx="33">
                  <c:v>5.277818615440566E-2</c:v>
                </c:pt>
                <c:pt idx="34">
                  <c:v>5.0125628933802346E-2</c:v>
                </c:pt>
                <c:pt idx="35">
                  <c:v>4.7727519816564978E-2</c:v>
                </c:pt>
                <c:pt idx="36">
                  <c:v>4.5548849896672294E-2</c:v>
                </c:pt>
                <c:pt idx="37">
                  <c:v>4.3560762610400872E-2</c:v>
                </c:pt>
                <c:pt idx="38">
                  <c:v>4.1739256898601695E-2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0D-449C-AEF5-538335C93B17}"/>
            </c:ext>
          </c:extLst>
        </c:ser>
        <c:ser>
          <c:idx val="1"/>
          <c:order val="1"/>
          <c:tx>
            <c:strRef>
              <c:f>'Study of f3'!$P$2</c:f>
              <c:strCache>
                <c:ptCount val="1"/>
                <c:pt idx="0">
                  <c:v>α'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'Study of f3'!$D$3:$D$41</c:f>
              <c:numCache>
                <c:formatCode>General</c:formatCode>
                <c:ptCount val="39"/>
                <c:pt idx="0">
                  <c:v>2</c:v>
                </c:pt>
                <c:pt idx="1">
                  <c:v>2.0009999999999999</c:v>
                </c:pt>
                <c:pt idx="2">
                  <c:v>2.0099999999999998</c:v>
                </c:pt>
                <c:pt idx="3">
                  <c:v>2.04</c:v>
                </c:pt>
                <c:pt idx="4">
                  <c:v>2.1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2.4</c:v>
                </c:pt>
                <c:pt idx="8">
                  <c:v>2.5184630000000001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2.9</c:v>
                </c:pt>
                <c:pt idx="13">
                  <c:v>3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</c:numCache>
            </c:numRef>
          </c:xVal>
          <c:yVal>
            <c:numRef>
              <c:f>'Study of f3'!$P$3:$P$41</c:f>
              <c:numCache>
                <c:formatCode>General</c:formatCode>
                <c:ptCount val="39"/>
                <c:pt idx="0">
                  <c:v>1</c:v>
                </c:pt>
                <c:pt idx="1">
                  <c:v>0.99936338043983897</c:v>
                </c:pt>
                <c:pt idx="2">
                  <c:v>0.99363401447018362</c:v>
                </c:pt>
                <c:pt idx="3">
                  <c:v>0.97454877730401634</c:v>
                </c:pt>
                <c:pt idx="4">
                  <c:v>0.93654896513889274</c:v>
                </c:pt>
                <c:pt idx="5">
                  <c:v>0.87433408362199749</c:v>
                </c:pt>
                <c:pt idx="6">
                  <c:v>0.81445284184451539</c:v>
                </c:pt>
                <c:pt idx="7">
                  <c:v>0.75776211681831329</c:v>
                </c:pt>
                <c:pt idx="8">
                  <c:v>0.69549923969625038</c:v>
                </c:pt>
                <c:pt idx="9">
                  <c:v>0.65595826075473851</c:v>
                </c:pt>
                <c:pt idx="10">
                  <c:v>0.61119977557157035</c:v>
                </c:pt>
                <c:pt idx="11">
                  <c:v>0.59561972929613949</c:v>
                </c:pt>
                <c:pt idx="12">
                  <c:v>0.53347541671314824</c:v>
                </c:pt>
                <c:pt idx="13">
                  <c:v>0.5</c:v>
                </c:pt>
                <c:pt idx="14">
                  <c:v>0.46970765562326366</c:v>
                </c:pt>
                <c:pt idx="15">
                  <c:v>0.44228412324739097</c:v>
                </c:pt>
                <c:pt idx="16">
                  <c:v>0.41742880032030549</c:v>
                </c:pt>
                <c:pt idx="17">
                  <c:v>0.39486308657749314</c:v>
                </c:pt>
                <c:pt idx="18">
                  <c:v>0.29516723530086653</c:v>
                </c:pt>
                <c:pt idx="19">
                  <c:v>0.20483276469913336</c:v>
                </c:pt>
                <c:pt idx="20">
                  <c:v>0.15595826075473851</c:v>
                </c:pt>
                <c:pt idx="21">
                  <c:v>0.12566591637800228</c:v>
                </c:pt>
                <c:pt idx="22">
                  <c:v>0.10513691342250675</c:v>
                </c:pt>
                <c:pt idx="23">
                  <c:v>9.0334470601733052E-2</c:v>
                </c:pt>
                <c:pt idx="24">
                  <c:v>7.9166848321131078E-2</c:v>
                </c:pt>
                <c:pt idx="25">
                  <c:v>7.0446574954554531E-2</c:v>
                </c:pt>
                <c:pt idx="26">
                  <c:v>6.3451034861107036E-2</c:v>
                </c:pt>
                <c:pt idx="27">
                  <c:v>5.7715876752608919E-2</c:v>
                </c:pt>
                <c:pt idx="28">
                  <c:v>5.2929352119179707E-2</c:v>
                </c:pt>
                <c:pt idx="29">
                  <c:v>4.8874503944394743E-2</c:v>
                </c:pt>
                <c:pt idx="30">
                  <c:v>4.539574199972074E-2</c:v>
                </c:pt>
                <c:pt idx="31">
                  <c:v>4.2378609269892786E-2</c:v>
                </c:pt>
                <c:pt idx="32">
                  <c:v>3.9737048611081627E-2</c:v>
                </c:pt>
                <c:pt idx="33">
                  <c:v>3.7405118482553235E-2</c:v>
                </c:pt>
                <c:pt idx="34">
                  <c:v>3.5331445776269232E-2</c:v>
                </c:pt>
                <c:pt idx="35">
                  <c:v>3.3475416713148243E-2</c:v>
                </c:pt>
                <c:pt idx="36">
                  <c:v>3.1804502512352673E-2</c:v>
                </c:pt>
                <c:pt idx="37">
                  <c:v>3.0292344376736224E-2</c:v>
                </c:pt>
                <c:pt idx="38">
                  <c:v>2.8917357805553379E-2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0D-449C-AEF5-538335C93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096080"/>
        <c:axId val="1194674288"/>
      </c:scatterChart>
      <c:valAx>
        <c:axId val="127309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D/a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4674288"/>
        <c:crosses val="autoZero"/>
        <c:crossBetween val="midCat"/>
      </c:valAx>
      <c:valAx>
        <c:axId val="119467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Value of Fuction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3096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'Study of f3'!$G$2</c:f>
              <c:strCache>
                <c:ptCount val="1"/>
                <c:pt idx="0">
                  <c:v>f3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'Study of f3'!$D$3:$D$41</c:f>
              <c:numCache>
                <c:formatCode>General</c:formatCode>
                <c:ptCount val="39"/>
                <c:pt idx="0">
                  <c:v>2</c:v>
                </c:pt>
                <c:pt idx="1">
                  <c:v>2.0009999999999999</c:v>
                </c:pt>
                <c:pt idx="2">
                  <c:v>2.0099999999999998</c:v>
                </c:pt>
                <c:pt idx="3">
                  <c:v>2.04</c:v>
                </c:pt>
                <c:pt idx="4">
                  <c:v>2.1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2.4</c:v>
                </c:pt>
                <c:pt idx="8">
                  <c:v>2.5184630000000001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2.9</c:v>
                </c:pt>
                <c:pt idx="13">
                  <c:v>3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</c:numCache>
            </c:numRef>
          </c:xVal>
          <c:yVal>
            <c:numRef>
              <c:f>'Study of f3'!$G$3:$G$41</c:f>
              <c:numCache>
                <c:formatCode>General</c:formatCode>
                <c:ptCount val="39"/>
                <c:pt idx="0">
                  <c:v>0</c:v>
                </c:pt>
                <c:pt idx="1">
                  <c:v>1.006542305797279E-2</c:v>
                </c:pt>
                <c:pt idx="2">
                  <c:v>3.181774060506444E-2</c:v>
                </c:pt>
                <c:pt idx="3">
                  <c:v>6.3556348583340652E-2</c:v>
                </c:pt>
                <c:pt idx="4">
                  <c:v>0.10024366343102883</c:v>
                </c:pt>
                <c:pt idx="5">
                  <c:v>0.14119216056806877</c:v>
                </c:pt>
                <c:pt idx="6">
                  <c:v>0.17223661341683821</c:v>
                </c:pt>
                <c:pt idx="7">
                  <c:v>0.19810413772251015</c:v>
                </c:pt>
                <c:pt idx="8">
                  <c:v>0.22451409228044547</c:v>
                </c:pt>
                <c:pt idx="9">
                  <c:v>0.2407800737605523</c:v>
                </c:pt>
                <c:pt idx="10">
                  <c:v>0.2591042799998366</c:v>
                </c:pt>
                <c:pt idx="11">
                  <c:v>0.26551968714715712</c:v>
                </c:pt>
                <c:pt idx="12">
                  <c:v>0.29166439857412457</c:v>
                </c:pt>
                <c:pt idx="13">
                  <c:v>0.30634896253003313</c:v>
                </c:pt>
                <c:pt idx="14">
                  <c:v>0.32017683574802452</c:v>
                </c:pt>
                <c:pt idx="15">
                  <c:v>0.33326023786274556</c:v>
                </c:pt>
                <c:pt idx="16">
                  <c:v>0.3456888060066115</c:v>
                </c:pt>
                <c:pt idx="17">
                  <c:v>0.35753552622546952</c:v>
                </c:pt>
                <c:pt idx="18">
                  <c:v>0.4192007182789827</c:v>
                </c:pt>
                <c:pt idx="19">
                  <c:v>0.49872768679353818</c:v>
                </c:pt>
                <c:pt idx="20">
                  <c:v>0.56109985233918014</c:v>
                </c:pt>
                <c:pt idx="21">
                  <c:v>0.61269792506006626</c:v>
                </c:pt>
                <c:pt idx="22">
                  <c:v>0.65681241854756056</c:v>
                </c:pt>
                <c:pt idx="23">
                  <c:v>0.69539371665794714</c:v>
                </c:pt>
                <c:pt idx="24">
                  <c:v>0.7297036638221357</c:v>
                </c:pt>
                <c:pt idx="25">
                  <c:v>0.76060988742247881</c:v>
                </c:pt>
                <c:pt idx="26">
                  <c:v>0.78873647971422212</c:v>
                </c:pt>
                <c:pt idx="27">
                  <c:v>0.81454830692469071</c:v>
                </c:pt>
                <c:pt idx="28">
                  <c:v>0.83840143655796551</c:v>
                </c:pt>
                <c:pt idx="29">
                  <c:v>0.86057491503302197</c:v>
                </c:pt>
                <c:pt idx="30">
                  <c:v>0.88129165318422775</c:v>
                </c:pt>
                <c:pt idx="31">
                  <c:v>0.90073263772467327</c:v>
                </c:pt>
                <c:pt idx="32">
                  <c:v>0.91904688759009934</c:v>
                </c:pt>
                <c:pt idx="33">
                  <c:v>0.93635860501833446</c:v>
                </c:pt>
                <c:pt idx="34">
                  <c:v>0.95277242347321034</c:v>
                </c:pt>
                <c:pt idx="35">
                  <c:v>0.96837733199339326</c:v>
                </c:pt>
                <c:pt idx="36">
                  <c:v>0.98324965883624038</c:v>
                </c:pt>
                <c:pt idx="37">
                  <c:v>0.99745537358707648</c:v>
                </c:pt>
                <c:pt idx="38">
                  <c:v>1.0110518869982041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17-474E-A47C-08E4DED45C5D}"/>
            </c:ext>
          </c:extLst>
        </c:ser>
        <c:ser>
          <c:idx val="1"/>
          <c:order val="1"/>
          <c:tx>
            <c:strRef>
              <c:f>'Study of f3'!$Q$2</c:f>
              <c:strCache>
                <c:ptCount val="1"/>
                <c:pt idx="0">
                  <c:v>f8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'Study of f3'!$D$3:$D$41</c:f>
              <c:numCache>
                <c:formatCode>General</c:formatCode>
                <c:ptCount val="39"/>
                <c:pt idx="0">
                  <c:v>2</c:v>
                </c:pt>
                <c:pt idx="1">
                  <c:v>2.0009999999999999</c:v>
                </c:pt>
                <c:pt idx="2">
                  <c:v>2.0099999999999998</c:v>
                </c:pt>
                <c:pt idx="3">
                  <c:v>2.04</c:v>
                </c:pt>
                <c:pt idx="4">
                  <c:v>2.1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2.4</c:v>
                </c:pt>
                <c:pt idx="8">
                  <c:v>2.5184630000000001</c:v>
                </c:pt>
                <c:pt idx="9">
                  <c:v>2.6</c:v>
                </c:pt>
                <c:pt idx="10">
                  <c:v>2.7</c:v>
                </c:pt>
                <c:pt idx="11">
                  <c:v>2.7371080000000001</c:v>
                </c:pt>
                <c:pt idx="12">
                  <c:v>2.9</c:v>
                </c:pt>
                <c:pt idx="13">
                  <c:v>3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3.4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</c:numCache>
            </c:numRef>
          </c:xVal>
          <c:yVal>
            <c:numRef>
              <c:f>'Study of f3'!$Q$3:$Q$41</c:f>
              <c:numCache>
                <c:formatCode>General</c:formatCode>
                <c:ptCount val="39"/>
                <c:pt idx="0">
                  <c:v>0</c:v>
                </c:pt>
                <c:pt idx="1">
                  <c:v>5.2052635020968666E-4</c:v>
                </c:pt>
                <c:pt idx="2">
                  <c:v>5.1672855331979404E-3</c:v>
                </c:pt>
                <c:pt idx="3">
                  <c:v>2.0180335169532725E-2</c:v>
                </c:pt>
                <c:pt idx="4">
                  <c:v>4.8189130552509396E-2</c:v>
                </c:pt>
                <c:pt idx="5">
                  <c:v>8.9736303420597421E-2</c:v>
                </c:pt>
                <c:pt idx="6">
                  <c:v>0.12598169295095754</c:v>
                </c:pt>
                <c:pt idx="7">
                  <c:v>0.15790076221850421</c:v>
                </c:pt>
                <c:pt idx="8">
                  <c:v>0.19113350537652346</c:v>
                </c:pt>
                <c:pt idx="9">
                  <c:v>0.21160260094615355</c:v>
                </c:pt>
                <c:pt idx="10">
                  <c:v>0.2344638299955322</c:v>
                </c:pt>
                <c:pt idx="11">
                  <c:v>0.24239330966341543</c:v>
                </c:pt>
                <c:pt idx="12">
                  <c:v>0.27419928467229737</c:v>
                </c:pt>
                <c:pt idx="13">
                  <c:v>0.29166439857412457</c:v>
                </c:pt>
                <c:pt idx="14">
                  <c:v>0.30783589860536403</c:v>
                </c:pt>
                <c:pt idx="15">
                  <c:v>0.3228944258731587</c:v>
                </c:pt>
                <c:pt idx="16">
                  <c:v>0.33698916131464429</c:v>
                </c:pt>
                <c:pt idx="17">
                  <c:v>0.3502437299001856</c:v>
                </c:pt>
                <c:pt idx="18">
                  <c:v>0.41687076091797104</c:v>
                </c:pt>
                <c:pt idx="19">
                  <c:v>0.49898531019095232</c:v>
                </c:pt>
                <c:pt idx="20">
                  <c:v>0.56195147836392834</c:v>
                </c:pt>
                <c:pt idx="21">
                  <c:v>0.61363613646551152</c:v>
                </c:pt>
                <c:pt idx="22">
                  <c:v>0.65769580388070104</c:v>
                </c:pt>
                <c:pt idx="23">
                  <c:v>0.69618723467884314</c:v>
                </c:pt>
                <c:pt idx="24">
                  <c:v>0.73040561201098508</c:v>
                </c:pt>
                <c:pt idx="25">
                  <c:v>0.76122868472277472</c:v>
                </c:pt>
                <c:pt idx="26">
                  <c:v>0.78928279640521426</c:v>
                </c:pt>
                <c:pt idx="27">
                  <c:v>0.81503239672064487</c:v>
                </c:pt>
                <c:pt idx="28">
                  <c:v>0.83883233359552678</c:v>
                </c:pt>
                <c:pt idx="29">
                  <c:v>0.8609603087559502</c:v>
                </c:pt>
                <c:pt idx="30">
                  <c:v>0.88163799740952631</c:v>
                </c:pt>
                <c:pt idx="31">
                  <c:v>0.90104532460801712</c:v>
                </c:pt>
                <c:pt idx="32">
                  <c:v>0.91933042318920655</c:v>
                </c:pt>
                <c:pt idx="33">
                  <c:v>0.93661676504735669</c:v>
                </c:pt>
                <c:pt idx="34">
                  <c:v>0.95300838433497015</c:v>
                </c:pt>
                <c:pt idx="35">
                  <c:v>0.96859377835203586</c:v>
                </c:pt>
                <c:pt idx="36">
                  <c:v>0.98344887095701594</c:v>
                </c:pt>
                <c:pt idx="37">
                  <c:v>0.99763929795700657</c:v>
                </c:pt>
                <c:pt idx="38">
                  <c:v>1.0112221934138594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17-474E-A47C-08E4DED45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352304"/>
        <c:axId val="581353136"/>
      </c:scatterChart>
      <c:valAx>
        <c:axId val="581352304"/>
        <c:scaling>
          <c:orientation val="minMax"/>
          <c:max val="5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353136"/>
        <c:crosses val="autoZero"/>
        <c:crossBetween val="midCat"/>
      </c:valAx>
      <c:valAx>
        <c:axId val="58135313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35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28575</xdr:colOff>
      <xdr:row>10</xdr:row>
      <xdr:rowOff>85725</xdr:rowOff>
    </xdr:from>
    <xdr:ext cx="116205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D4C412B7-AC88-4055-BE4D-81ED5EF18795}"/>
                </a:ext>
              </a:extLst>
            </xdr:cNvPr>
            <xdr:cNvSpPr txBox="1"/>
          </xdr:nvSpPr>
          <xdr:spPr>
            <a:xfrm>
              <a:off x="16840200" y="2562225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𝐿𝑖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D4C412B7-AC88-4055-BE4D-81ED5EF18795}"/>
                </a:ext>
              </a:extLst>
            </xdr:cNvPr>
            <xdr:cNvSpPr txBox="1"/>
          </xdr:nvSpPr>
          <xdr:spPr>
            <a:xfrm>
              <a:off x="16840200" y="2562225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𝐿=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𝑓_𝐿𝑖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20</xdr:col>
      <xdr:colOff>952500</xdr:colOff>
      <xdr:row>11</xdr:row>
      <xdr:rowOff>219075</xdr:rowOff>
    </xdr:from>
    <xdr:ext cx="1104900" cy="4648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EC042619-F049-4F3C-BEDA-9292A0EA12D1}"/>
                </a:ext>
              </a:extLst>
            </xdr:cNvPr>
            <xdr:cNvSpPr txBox="1"/>
          </xdr:nvSpPr>
          <xdr:spPr>
            <a:xfrm>
              <a:off x="16716375" y="2933700"/>
              <a:ext cx="1104900" cy="4648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</m:sSub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𝐶𝑖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EC042619-F049-4F3C-BEDA-9292A0EA12D1}"/>
                </a:ext>
              </a:extLst>
            </xdr:cNvPr>
            <xdr:cNvSpPr txBox="1"/>
          </xdr:nvSpPr>
          <xdr:spPr>
            <a:xfrm>
              <a:off x="16716375" y="2933700"/>
              <a:ext cx="1104900" cy="4648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𝐶=(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_0)/𝑓_𝐶𝑖 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20</xdr:col>
      <xdr:colOff>990600</xdr:colOff>
      <xdr:row>14</xdr:row>
      <xdr:rowOff>28575</xdr:rowOff>
    </xdr:from>
    <xdr:ext cx="223837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756F4CF0-EE45-422D-8FB4-C7EAA1D43041}"/>
                </a:ext>
              </a:extLst>
            </xdr:cNvPr>
            <xdr:cNvSpPr txBox="1"/>
          </xdr:nvSpPr>
          <xdr:spPr>
            <a:xfrm>
              <a:off x="16754475" y="3457575"/>
              <a:ext cx="223837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=119.9169833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756F4CF0-EE45-422D-8FB4-C7EAA1D43041}"/>
                </a:ext>
              </a:extLst>
            </xdr:cNvPr>
            <xdr:cNvSpPr txBox="1"/>
          </xdr:nvSpPr>
          <xdr:spPr>
            <a:xfrm>
              <a:off x="16754475" y="3457575"/>
              <a:ext cx="223837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_0 )=119.9169833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20</xdr:col>
      <xdr:colOff>876301</xdr:colOff>
      <xdr:row>7</xdr:row>
      <xdr:rowOff>66675</xdr:rowOff>
    </xdr:from>
    <xdr:ext cx="2798044" cy="5449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65039DE5-CB6C-40AB-87DA-1FD28E8C1762}"/>
                </a:ext>
              </a:extLst>
            </xdr:cNvPr>
            <xdr:cNvSpPr txBox="1"/>
          </xdr:nvSpPr>
          <xdr:spPr>
            <a:xfrm>
              <a:off x="16640176" y="1828800"/>
              <a:ext cx="2798044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e>
                            </m:d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e>
                            </m:d>
                          </m:e>
                        </m:rad>
                      </m:e>
                    </m: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65039DE5-CB6C-40AB-87DA-1FD28E8C1762}"/>
                </a:ext>
              </a:extLst>
            </xdr:cNvPr>
            <xdr:cNvSpPr txBox="1"/>
          </xdr:nvSpPr>
          <xdr:spPr>
            <a:xfrm>
              <a:off x="16640176" y="1828800"/>
              <a:ext cx="2798044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𝑓_3=1/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 𝑙𝑛(1/2  𝐷/𝑎+√((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−1)(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+1) ))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21</xdr:col>
      <xdr:colOff>76200</xdr:colOff>
      <xdr:row>1</xdr:row>
      <xdr:rowOff>19050</xdr:rowOff>
    </xdr:from>
    <xdr:to>
      <xdr:col>22</xdr:col>
      <xdr:colOff>400050</xdr:colOff>
      <xdr:row>2</xdr:row>
      <xdr:rowOff>95250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F869E55-730D-4FD9-9EEF-53F3705F2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7825" y="266700"/>
          <a:ext cx="10096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76200</xdr:colOff>
      <xdr:row>3</xdr:row>
      <xdr:rowOff>0</xdr:rowOff>
    </xdr:from>
    <xdr:to>
      <xdr:col>23</xdr:col>
      <xdr:colOff>276225</xdr:colOff>
      <xdr:row>4</xdr:row>
      <xdr:rowOff>95250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7446DD1-3535-9DB8-8624-63C3E86C0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7825" y="752475"/>
          <a:ext cx="15716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19050</xdr:colOff>
      <xdr:row>16</xdr:row>
      <xdr:rowOff>19050</xdr:rowOff>
    </xdr:from>
    <xdr:to>
      <xdr:col>17</xdr:col>
      <xdr:colOff>171450</xdr:colOff>
      <xdr:row>17</xdr:row>
      <xdr:rowOff>95250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F8EE01A-6AE4-42D0-D6F2-41801FB0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3667125"/>
          <a:ext cx="22098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20</xdr:col>
      <xdr:colOff>1009650</xdr:colOff>
      <xdr:row>17</xdr:row>
      <xdr:rowOff>104775</xdr:rowOff>
    </xdr:from>
    <xdr:ext cx="2362200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89E3CD60-015C-50A2-F9E6-5210522E1216}"/>
                </a:ext>
              </a:extLst>
            </xdr:cNvPr>
            <xdr:cNvSpPr txBox="1"/>
          </xdr:nvSpPr>
          <xdr:spPr>
            <a:xfrm>
              <a:off x="16773525" y="4257675"/>
              <a:ext cx="2362200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=119.8818852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89E3CD60-015C-50A2-F9E6-5210522E1216}"/>
                </a:ext>
              </a:extLst>
            </xdr:cNvPr>
            <xdr:cNvSpPr txBox="1"/>
          </xdr:nvSpPr>
          <xdr:spPr>
            <a:xfrm>
              <a:off x="16773525" y="4257675"/>
              <a:ext cx="2362200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_𝑟)/(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))=119.8818852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20</xdr:col>
      <xdr:colOff>819149</xdr:colOff>
      <xdr:row>4</xdr:row>
      <xdr:rowOff>66675</xdr:rowOff>
    </xdr:from>
    <xdr:ext cx="2962275" cy="5945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F30A63AF-DB98-4FE7-8930-BDAD484BCC54}"/>
                </a:ext>
              </a:extLst>
            </xdr:cNvPr>
            <xdr:cNvSpPr txBox="1"/>
          </xdr:nvSpPr>
          <xdr:spPr>
            <a:xfrm>
              <a:off x="16583024" y="1066800"/>
              <a:ext cx="2962275" cy="5945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2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kumimoji="1" lang="en-US" altLang="ja-JP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2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2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</m:e>
                    </m:d>
                    <m:r>
                      <a:rPr kumimoji="1" lang="en-US" altLang="ja-JP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ja-JP" altLang="ja-JP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</m:den>
                    </m:f>
                    <m:sSub>
                      <m:sSubPr>
                        <m:ctrlPr>
                          <a:rPr kumimoji="1" lang="en-US" altLang="ja-JP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200" b="0" i="1">
                            <a:latin typeface="Cambria Math" panose="02040503050406030204" pitchFamily="18" charset="0"/>
                          </a:rPr>
                          <m:t>𝑙𝑜𝑔</m:t>
                        </m:r>
                      </m:e>
                      <m:sub>
                        <m:r>
                          <a:rPr kumimoji="1" lang="en-US" altLang="ja-JP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  <m:d>
                      <m:dPr>
                        <m:ctrlPr>
                          <a:rPr kumimoji="1" lang="en-US" altLang="ja-JP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2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  <m:r>
                              <a:rPr kumimoji="1" lang="en-US" altLang="ja-JP" sz="12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2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kumimoji="1" lang="en-US" altLang="ja-JP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kumimoji="1" lang="en-US" altLang="ja-JP" sz="12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kumimoji="1" lang="en-US" altLang="ja-JP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kumimoji="1" lang="en-US" altLang="ja-JP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𝐷</m:t>
                                        </m:r>
                                      </m:num>
                                      <m:den>
                                        <m:r>
                                          <a:rPr kumimoji="1" lang="en-US" altLang="ja-JP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2</m:t>
                                        </m:r>
                                        <m:r>
                                          <a:rPr kumimoji="1" lang="en-US" altLang="ja-JP" sz="12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𝑎</m:t>
                                        </m:r>
                                      </m:den>
                                    </m:f>
                                  </m:e>
                                </m:d>
                              </m:e>
                              <m:sup>
                                <m:r>
                                  <a:rPr kumimoji="1" lang="en-US" altLang="ja-JP" sz="12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  <m:r>
                          <a:rPr kumimoji="1" lang="en-US" altLang="ja-JP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−1</m:t>
                        </m:r>
                      </m:e>
                    </m:d>
                  </m:oMath>
                </m:oMathPara>
              </a14:m>
              <a:endParaRPr kumimoji="1" lang="ja-JP" altLang="en-US" sz="1200"/>
            </a:p>
          </xdr:txBody>
        </xdr:sp>
      </mc:Choice>
      <mc:Fallback xmlns=""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F30A63AF-DB98-4FE7-8930-BDAD484BCC54}"/>
                </a:ext>
              </a:extLst>
            </xdr:cNvPr>
            <xdr:cNvSpPr txBox="1"/>
          </xdr:nvSpPr>
          <xdr:spPr>
            <a:xfrm>
              <a:off x="16583024" y="1066800"/>
              <a:ext cx="2962275" cy="5945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200" b="0" i="0">
                  <a:latin typeface="Cambria Math" panose="02040503050406030204" pitchFamily="18" charset="0"/>
                </a:rPr>
                <a:t>𝑓_3 (𝐷/𝑎)=</a:t>
              </a:r>
              <a:r>
                <a:rPr kumimoji="1" lang="en-US" altLang="ja-JP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</a:t>
              </a:r>
              <a:r>
                <a:rPr kumimoji="1" lang="ja-JP" altLang="ja-JP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en-US" altLang="ja-JP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en-US" altLang="ja-JP" sz="1200" b="0" i="0">
                  <a:latin typeface="Cambria Math" panose="02040503050406030204" pitchFamily="18" charset="0"/>
                </a:rPr>
                <a:t>〖𝑙𝑜𝑔〗_𝑒 (𝐷/2𝑎</a:t>
              </a:r>
              <a:r>
                <a:rPr kumimoji="1" lang="en-US" altLang="ja-JP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+√((𝐷/2𝑎)^2 )−1)</a:t>
              </a:r>
              <a:endParaRPr kumimoji="1" lang="ja-JP" altLang="en-US" sz="1200"/>
            </a:p>
          </xdr:txBody>
        </xdr:sp>
      </mc:Fallback>
    </mc:AlternateContent>
    <xdr:clientData/>
  </xdr:oneCellAnchor>
  <xdr:twoCellAnchor>
    <xdr:from>
      <xdr:col>15</xdr:col>
      <xdr:colOff>333375</xdr:colOff>
      <xdr:row>9</xdr:row>
      <xdr:rowOff>66675</xdr:rowOff>
    </xdr:from>
    <xdr:to>
      <xdr:col>18</xdr:col>
      <xdr:colOff>19050</xdr:colOff>
      <xdr:row>12</xdr:row>
      <xdr:rowOff>19050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AFC9015-0AF8-1035-BA03-43FA870972F2}"/>
            </a:ext>
          </a:extLst>
        </xdr:cNvPr>
        <xdr:cNvSpPr/>
      </xdr:nvSpPr>
      <xdr:spPr>
        <a:xfrm>
          <a:off x="11801475" y="2305050"/>
          <a:ext cx="1971675" cy="666750"/>
        </a:xfrm>
        <a:prstGeom prst="wedgeRoundRectCallout">
          <a:avLst>
            <a:gd name="adj1" fmla="val -101717"/>
            <a:gd name="adj2" fmla="val -8553"/>
            <a:gd name="adj3" fmla="val 16667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a</a:t>
          </a:r>
          <a:r>
            <a:rPr kumimoji="1" lang="ja-JP" altLang="en-US" sz="1100"/>
            <a:t>を入力すると各関数による</a:t>
          </a:r>
          <a:r>
            <a:rPr kumimoji="1" lang="en-US" altLang="ja-JP" sz="1100"/>
            <a:t>D</a:t>
          </a:r>
          <a:r>
            <a:rPr kumimoji="1" lang="ja-JP" altLang="en-US" sz="1100"/>
            <a:t>を計算します</a:t>
          </a:r>
        </a:p>
      </xdr:txBody>
    </xdr:sp>
    <xdr:clientData/>
  </xdr:twoCellAnchor>
  <xdr:twoCellAnchor>
    <xdr:from>
      <xdr:col>15</xdr:col>
      <xdr:colOff>352425</xdr:colOff>
      <xdr:row>12</xdr:row>
      <xdr:rowOff>9524</xdr:rowOff>
    </xdr:from>
    <xdr:to>
      <xdr:col>17</xdr:col>
      <xdr:colOff>838200</xdr:colOff>
      <xdr:row>14</xdr:row>
      <xdr:rowOff>209549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47E62D0-DCF1-FB1A-B15E-2DF1678F3632}"/>
            </a:ext>
          </a:extLst>
        </xdr:cNvPr>
        <xdr:cNvSpPr/>
      </xdr:nvSpPr>
      <xdr:spPr>
        <a:xfrm>
          <a:off x="11820525" y="2962274"/>
          <a:ext cx="1857375" cy="676275"/>
        </a:xfrm>
        <a:prstGeom prst="wedgeRoundRectCallout">
          <a:avLst>
            <a:gd name="adj1" fmla="val -106580"/>
            <a:gd name="adj2" fmla="val 163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a</a:t>
          </a:r>
          <a:r>
            <a:rPr kumimoji="1" lang="ja-JP" altLang="en-US" sz="1100"/>
            <a:t>と</a:t>
          </a:r>
          <a:r>
            <a:rPr kumimoji="1" lang="en-US" altLang="ja-JP" sz="1100"/>
            <a:t>D</a:t>
          </a:r>
          <a:r>
            <a:rPr kumimoji="1" lang="ja-JP" altLang="en-US" sz="1100"/>
            <a:t>から導線間の</a:t>
          </a:r>
          <a:r>
            <a:rPr kumimoji="1" lang="en-US" altLang="ja-JP" sz="1100"/>
            <a:t>GAP</a:t>
          </a:r>
          <a:r>
            <a:rPr kumimoji="1" lang="ja-JP" altLang="en-US" sz="1100"/>
            <a:t>を計算します</a:t>
          </a:r>
        </a:p>
      </xdr:txBody>
    </xdr:sp>
    <xdr:clientData/>
  </xdr:twoCellAnchor>
  <xdr:twoCellAnchor>
    <xdr:from>
      <xdr:col>15</xdr:col>
      <xdr:colOff>247650</xdr:colOff>
      <xdr:row>2</xdr:row>
      <xdr:rowOff>76200</xdr:rowOff>
    </xdr:from>
    <xdr:to>
      <xdr:col>17</xdr:col>
      <xdr:colOff>685800</xdr:colOff>
      <xdr:row>4</xdr:row>
      <xdr:rowOff>247650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B2E3641-0987-E363-50DC-D4C99A4F7B72}"/>
            </a:ext>
          </a:extLst>
        </xdr:cNvPr>
        <xdr:cNvSpPr/>
      </xdr:nvSpPr>
      <xdr:spPr>
        <a:xfrm>
          <a:off x="11715750" y="590550"/>
          <a:ext cx="1809750" cy="657225"/>
        </a:xfrm>
        <a:prstGeom prst="wedgeRoundRectCallout">
          <a:avLst>
            <a:gd name="adj1" fmla="val -101795"/>
            <a:gd name="adj2" fmla="val 73605"/>
            <a:gd name="adj3" fmla="val 16667"/>
          </a:avLst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Z0</a:t>
          </a:r>
          <a:r>
            <a:rPr kumimoji="1" lang="ja-JP" altLang="en-US" sz="1100"/>
            <a:t>を入力すると各関数による</a:t>
          </a:r>
          <a:r>
            <a:rPr kumimoji="1" lang="en-US" altLang="ja-JP" sz="1100"/>
            <a:t>D/a</a:t>
          </a:r>
          <a:r>
            <a:rPr kumimoji="1" lang="ja-JP" altLang="en-US" sz="1100"/>
            <a:t>を計算します</a:t>
          </a:r>
        </a:p>
      </xdr:txBody>
    </xdr:sp>
    <xdr:clientData/>
  </xdr:twoCellAnchor>
  <xdr:twoCellAnchor>
    <xdr:from>
      <xdr:col>0</xdr:col>
      <xdr:colOff>133350</xdr:colOff>
      <xdr:row>17</xdr:row>
      <xdr:rowOff>95250</xdr:rowOff>
    </xdr:from>
    <xdr:to>
      <xdr:col>4</xdr:col>
      <xdr:colOff>390525</xdr:colOff>
      <xdr:row>23</xdr:row>
      <xdr:rowOff>152400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781ECD84-7CA4-9AF1-F272-EDEA071130B1}"/>
            </a:ext>
          </a:extLst>
        </xdr:cNvPr>
        <xdr:cNvGrpSpPr/>
      </xdr:nvGrpSpPr>
      <xdr:grpSpPr>
        <a:xfrm>
          <a:off x="133350" y="4267200"/>
          <a:ext cx="2543175" cy="1504950"/>
          <a:chOff x="695325" y="4943475"/>
          <a:chExt cx="2543175" cy="1504950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EF0FACAC-9A6B-EB9B-532F-B4A969010889}"/>
              </a:ext>
            </a:extLst>
          </xdr:cNvPr>
          <xdr:cNvSpPr txBox="1"/>
        </xdr:nvSpPr>
        <xdr:spPr>
          <a:xfrm>
            <a:off x="1666875" y="5915025"/>
            <a:ext cx="685799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600">
                <a:solidFill>
                  <a:srgbClr val="7030A0"/>
                </a:solidFill>
                <a:latin typeface="Arial Black" panose="020B0A04020102020204" pitchFamily="34" charset="0"/>
              </a:rPr>
              <a:t>D</a:t>
            </a:r>
            <a:endParaRPr kumimoji="1" lang="ja-JP" altLang="en-US" sz="1600">
              <a:solidFill>
                <a:srgbClr val="7030A0"/>
              </a:solidFill>
              <a:latin typeface="Arial Black" panose="020B0A04020102020204" pitchFamily="34" charset="0"/>
            </a:endParaRPr>
          </a:p>
        </xdr:txBody>
      </xdr: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0D83E42F-B863-B6E8-D9D2-B152263DFED7}"/>
              </a:ext>
            </a:extLst>
          </xdr:cNvPr>
          <xdr:cNvGrpSpPr/>
        </xdr:nvGrpSpPr>
        <xdr:grpSpPr>
          <a:xfrm>
            <a:off x="695325" y="4943475"/>
            <a:ext cx="2543175" cy="1504950"/>
            <a:chOff x="5829300" y="4752975"/>
            <a:chExt cx="2543175" cy="1504950"/>
          </a:xfrm>
        </xdr:grpSpPr>
        <xdr:sp macro="" textlink="">
          <xdr:nvSpPr>
            <xdr:cNvPr id="21" name="テキスト ボックス 20">
              <a:extLst>
                <a:ext uri="{FF2B5EF4-FFF2-40B4-BE49-F238E27FC236}">
                  <a16:creationId xmlns:a16="http://schemas.microsoft.com/office/drawing/2014/main" id="{66FB10C8-918C-081F-863F-741AE488A5F1}"/>
                </a:ext>
              </a:extLst>
            </xdr:cNvPr>
            <xdr:cNvSpPr txBox="1"/>
          </xdr:nvSpPr>
          <xdr:spPr>
            <a:xfrm>
              <a:off x="6819900" y="5105400"/>
              <a:ext cx="685799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600">
                  <a:solidFill>
                    <a:srgbClr val="7030A0"/>
                  </a:solidFill>
                  <a:latin typeface="Arial Black" panose="020B0A04020102020204" pitchFamily="34" charset="0"/>
                </a:rPr>
                <a:t>GAP</a:t>
              </a:r>
              <a:endParaRPr kumimoji="1" lang="ja-JP" altLang="en-US" sz="1600">
                <a:solidFill>
                  <a:srgbClr val="7030A0"/>
                </a:solidFill>
                <a:latin typeface="Arial Black" panose="020B0A04020102020204" pitchFamily="34" charset="0"/>
              </a:endParaRPr>
            </a:p>
          </xdr:txBody>
        </xdr:sp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8D2E152A-F652-9DDD-0DE4-25AC3E06B070}"/>
                </a:ext>
              </a:extLst>
            </xdr:cNvPr>
            <xdr:cNvGrpSpPr/>
          </xdr:nvGrpSpPr>
          <xdr:grpSpPr>
            <a:xfrm>
              <a:off x="5829300" y="4752975"/>
              <a:ext cx="2543175" cy="1504950"/>
              <a:chOff x="5829300" y="4752975"/>
              <a:chExt cx="2543175" cy="1504950"/>
            </a:xfrm>
          </xdr:grpSpPr>
          <xdr:cxnSp macro="">
            <xdr:nvCxnSpPr>
              <xdr:cNvPr id="16" name="直線矢印コネクタ 15">
                <a:extLst>
                  <a:ext uri="{FF2B5EF4-FFF2-40B4-BE49-F238E27FC236}">
                    <a16:creationId xmlns:a16="http://schemas.microsoft.com/office/drawing/2014/main" id="{6C0E1C3B-53C4-8512-187B-C0052683C3FA}"/>
                  </a:ext>
                </a:extLst>
              </xdr:cNvPr>
              <xdr:cNvCxnSpPr/>
            </xdr:nvCxnSpPr>
            <xdr:spPr>
              <a:xfrm flipH="1" flipV="1">
                <a:off x="6848475" y="5410200"/>
                <a:ext cx="523875" cy="4763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" name="楕円 21">
                <a:extLst>
                  <a:ext uri="{FF2B5EF4-FFF2-40B4-BE49-F238E27FC236}">
                    <a16:creationId xmlns:a16="http://schemas.microsoft.com/office/drawing/2014/main" id="{1A3E7F31-00F0-FFE3-B71E-952F625F566A}"/>
                  </a:ext>
                </a:extLst>
              </xdr:cNvPr>
              <xdr:cNvSpPr/>
            </xdr:nvSpPr>
            <xdr:spPr>
              <a:xfrm>
                <a:off x="5829300" y="4924425"/>
                <a:ext cx="1009650" cy="981075"/>
              </a:xfrm>
              <a:prstGeom prst="ellipse">
                <a:avLst/>
              </a:prstGeom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accent2">
                    <a:lumMod val="20000"/>
                    <a:lumOff val="8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楕円 17">
                <a:extLst>
                  <a:ext uri="{FF2B5EF4-FFF2-40B4-BE49-F238E27FC236}">
                    <a16:creationId xmlns:a16="http://schemas.microsoft.com/office/drawing/2014/main" id="{DC1C6561-D2D4-1788-2953-5A2FE1C8CA89}"/>
                  </a:ext>
                </a:extLst>
              </xdr:cNvPr>
              <xdr:cNvSpPr/>
            </xdr:nvSpPr>
            <xdr:spPr>
              <a:xfrm>
                <a:off x="7362825" y="4924425"/>
                <a:ext cx="1009650" cy="981075"/>
              </a:xfrm>
              <a:prstGeom prst="ellipse">
                <a:avLst/>
              </a:prstGeom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accent2">
                    <a:lumMod val="20000"/>
                    <a:lumOff val="8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4" name="直線矢印コネクタ 13">
                <a:extLst>
                  <a:ext uri="{FF2B5EF4-FFF2-40B4-BE49-F238E27FC236}">
                    <a16:creationId xmlns:a16="http://schemas.microsoft.com/office/drawing/2014/main" id="{3B5294A7-38CB-2829-C37B-49995489D594}"/>
                  </a:ext>
                </a:extLst>
              </xdr:cNvPr>
              <xdr:cNvCxnSpPr>
                <a:cxnSpLocks/>
              </xdr:cNvCxnSpPr>
            </xdr:nvCxnSpPr>
            <xdr:spPr>
              <a:xfrm flipH="1">
                <a:off x="6315075" y="5405438"/>
                <a:ext cx="533399" cy="0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直線矢印コネクタ 22">
                <a:extLst>
                  <a:ext uri="{FF2B5EF4-FFF2-40B4-BE49-F238E27FC236}">
                    <a16:creationId xmlns:a16="http://schemas.microsoft.com/office/drawing/2014/main" id="{8F92390A-4C3B-0C23-E6FE-965E97B74D1F}"/>
                  </a:ext>
                </a:extLst>
              </xdr:cNvPr>
              <xdr:cNvCxnSpPr/>
            </xdr:nvCxnSpPr>
            <xdr:spPr>
              <a:xfrm>
                <a:off x="6315075" y="6000750"/>
                <a:ext cx="1571625" cy="0"/>
              </a:xfrm>
              <a:prstGeom prst="straightConnector1">
                <a:avLst/>
              </a:prstGeom>
              <a:ln>
                <a:headEnd type="triangl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直線コネクタ 26">
                <a:extLst>
                  <a:ext uri="{FF2B5EF4-FFF2-40B4-BE49-F238E27FC236}">
                    <a16:creationId xmlns:a16="http://schemas.microsoft.com/office/drawing/2014/main" id="{22CEEFDF-9195-03F7-5F72-104D7E97D38F}"/>
                  </a:ext>
                </a:extLst>
              </xdr:cNvPr>
              <xdr:cNvCxnSpPr/>
            </xdr:nvCxnSpPr>
            <xdr:spPr>
              <a:xfrm>
                <a:off x="7867650" y="4762500"/>
                <a:ext cx="0" cy="1495425"/>
              </a:xfrm>
              <a:prstGeom prst="line">
                <a:avLst/>
              </a:prstGeom>
              <a:ln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直線コネクタ 24">
                <a:extLst>
                  <a:ext uri="{FF2B5EF4-FFF2-40B4-BE49-F238E27FC236}">
                    <a16:creationId xmlns:a16="http://schemas.microsoft.com/office/drawing/2014/main" id="{AF83BE81-1C75-FC61-138E-EB08A86F62A0}"/>
                  </a:ext>
                </a:extLst>
              </xdr:cNvPr>
              <xdr:cNvCxnSpPr/>
            </xdr:nvCxnSpPr>
            <xdr:spPr>
              <a:xfrm>
                <a:off x="6315075" y="4752975"/>
                <a:ext cx="0" cy="1495425"/>
              </a:xfrm>
              <a:prstGeom prst="line">
                <a:avLst/>
              </a:prstGeom>
              <a:ln>
                <a:prstDash val="lgDash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E5B418E3-78E2-B331-E5D5-5C7AA0A2A2D3}"/>
                </a:ext>
              </a:extLst>
            </xdr:cNvPr>
            <xdr:cNvSpPr txBox="1"/>
          </xdr:nvSpPr>
          <xdr:spPr>
            <a:xfrm>
              <a:off x="6191251" y="5124450"/>
              <a:ext cx="752474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600">
                  <a:solidFill>
                    <a:srgbClr val="7030A0"/>
                  </a:solidFill>
                  <a:latin typeface="Arial Black" panose="020B0A04020102020204" pitchFamily="34" charset="0"/>
                </a:rPr>
                <a:t>a</a:t>
              </a:r>
              <a:endParaRPr kumimoji="1" lang="ja-JP" altLang="en-US" sz="1600">
                <a:solidFill>
                  <a:srgbClr val="7030A0"/>
                </a:solidFill>
                <a:latin typeface="Arial Black" panose="020B0A04020102020204" pitchFamily="34" charset="0"/>
              </a:endParaRPr>
            </a:p>
          </xdr:txBody>
        </xdr:sp>
      </xdr:grpSp>
    </xdr:grpSp>
    <xdr:clientData/>
  </xdr:twoCellAnchor>
  <xdr:twoCellAnchor>
    <xdr:from>
      <xdr:col>0</xdr:col>
      <xdr:colOff>142876</xdr:colOff>
      <xdr:row>13</xdr:row>
      <xdr:rowOff>228600</xdr:rowOff>
    </xdr:from>
    <xdr:to>
      <xdr:col>2</xdr:col>
      <xdr:colOff>238126</xdr:colOff>
      <xdr:row>15</xdr:row>
      <xdr:rowOff>28575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5B62AF57-8DA5-CC3C-954F-0EB20EF1B7EA}"/>
            </a:ext>
          </a:extLst>
        </xdr:cNvPr>
        <xdr:cNvSpPr/>
      </xdr:nvSpPr>
      <xdr:spPr>
        <a:xfrm>
          <a:off x="142876" y="3419475"/>
          <a:ext cx="1009650" cy="276225"/>
        </a:xfrm>
        <a:prstGeom prst="wedgeRoundRectCallout">
          <a:avLst>
            <a:gd name="adj1" fmla="val 95636"/>
            <a:gd name="adj2" fmla="val -8871"/>
            <a:gd name="adj3" fmla="val 16667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GAPij/GAP33</a:t>
          </a:r>
          <a:endParaRPr kumimoji="1" lang="ja-JP" altLang="en-US" sz="1100"/>
        </a:p>
      </xdr:txBody>
    </xdr:sp>
    <xdr:clientData/>
  </xdr:twoCellAnchor>
  <xdr:twoCellAnchor>
    <xdr:from>
      <xdr:col>12</xdr:col>
      <xdr:colOff>428625</xdr:colOff>
      <xdr:row>15</xdr:row>
      <xdr:rowOff>57150</xdr:rowOff>
    </xdr:from>
    <xdr:to>
      <xdr:col>18</xdr:col>
      <xdr:colOff>371475</xdr:colOff>
      <xdr:row>26</xdr:row>
      <xdr:rowOff>142875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7EBE3AC0-E625-4088-8BD7-D5C80844B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14287</xdr:colOff>
      <xdr:row>15</xdr:row>
      <xdr:rowOff>85725</xdr:rowOff>
    </xdr:from>
    <xdr:to>
      <xdr:col>12</xdr:col>
      <xdr:colOff>347662</xdr:colOff>
      <xdr:row>26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7F287BA-EE9C-D5C1-AA08-8CA3D8AA1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10</xdr:row>
      <xdr:rowOff>180975</xdr:rowOff>
    </xdr:from>
    <xdr:ext cx="116205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82DB9915-52ED-4FC5-A768-4EDCDF2A5BE5}"/>
                </a:ext>
              </a:extLst>
            </xdr:cNvPr>
            <xdr:cNvSpPr txBox="1"/>
          </xdr:nvSpPr>
          <xdr:spPr>
            <a:xfrm>
              <a:off x="10887075" y="1619250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𝐿𝑖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82DB9915-52ED-4FC5-A768-4EDCDF2A5BE5}"/>
                </a:ext>
              </a:extLst>
            </xdr:cNvPr>
            <xdr:cNvSpPr txBox="1"/>
          </xdr:nvSpPr>
          <xdr:spPr>
            <a:xfrm>
              <a:off x="10887075" y="1619250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𝐿=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𝑓_𝐿𝑖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20</xdr:col>
      <xdr:colOff>285750</xdr:colOff>
      <xdr:row>14</xdr:row>
      <xdr:rowOff>19050</xdr:rowOff>
    </xdr:from>
    <xdr:ext cx="1104900" cy="421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E06A8C31-7455-4BAB-8681-2173BB04063D}"/>
                </a:ext>
              </a:extLst>
            </xdr:cNvPr>
            <xdr:cNvSpPr txBox="1"/>
          </xdr:nvSpPr>
          <xdr:spPr>
            <a:xfrm>
              <a:off x="12982575" y="2714625"/>
              <a:ext cx="1104900" cy="42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𝐶𝑖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</m:sSub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𝐶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E06A8C31-7455-4BAB-8681-2173BB04063D}"/>
                </a:ext>
              </a:extLst>
            </xdr:cNvPr>
            <xdr:cNvSpPr txBox="1"/>
          </xdr:nvSpPr>
          <xdr:spPr>
            <a:xfrm>
              <a:off x="12982575" y="2714625"/>
              <a:ext cx="1104900" cy="42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𝑓_𝐶𝑖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_0)/𝐶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21</xdr:col>
      <xdr:colOff>66675</xdr:colOff>
      <xdr:row>14</xdr:row>
      <xdr:rowOff>123825</xdr:rowOff>
    </xdr:from>
    <xdr:ext cx="279082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96497CB4-0199-4E76-A72C-B5C7510CD9E5}"/>
                </a:ext>
              </a:extLst>
            </xdr:cNvPr>
            <xdr:cNvSpPr txBox="1"/>
          </xdr:nvSpPr>
          <xdr:spPr>
            <a:xfrm>
              <a:off x="12306300" y="2286000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=119.9169833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96497CB4-0199-4E76-A72C-B5C7510CD9E5}"/>
                </a:ext>
              </a:extLst>
            </xdr:cNvPr>
            <xdr:cNvSpPr txBox="1"/>
          </xdr:nvSpPr>
          <xdr:spPr>
            <a:xfrm>
              <a:off x="12306300" y="2286000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_0 )=119.9169833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22</xdr:col>
      <xdr:colOff>1095376</xdr:colOff>
      <xdr:row>11</xdr:row>
      <xdr:rowOff>228600</xdr:rowOff>
    </xdr:from>
    <xdr:ext cx="2798044" cy="5449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AAAC95CA-0051-4CED-AD9B-EEA42360AFA8}"/>
                </a:ext>
              </a:extLst>
            </xdr:cNvPr>
            <xdr:cNvSpPr txBox="1"/>
          </xdr:nvSpPr>
          <xdr:spPr>
            <a:xfrm>
              <a:off x="16964026" y="2686050"/>
              <a:ext cx="2798044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e>
                            </m:d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e>
                            </m:d>
                          </m:e>
                        </m:rad>
                      </m:e>
                    </m: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AAAC95CA-0051-4CED-AD9B-EEA42360AFA8}"/>
                </a:ext>
              </a:extLst>
            </xdr:cNvPr>
            <xdr:cNvSpPr txBox="1"/>
          </xdr:nvSpPr>
          <xdr:spPr>
            <a:xfrm>
              <a:off x="16964026" y="2686050"/>
              <a:ext cx="2798044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𝑓_3=1/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 𝑙𝑛(1/2  𝐷/𝑎+√((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−1)(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+1) ))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24</xdr:col>
      <xdr:colOff>542925</xdr:colOff>
      <xdr:row>4</xdr:row>
      <xdr:rowOff>190500</xdr:rowOff>
    </xdr:from>
    <xdr:to>
      <xdr:col>26</xdr:col>
      <xdr:colOff>180975</xdr:colOff>
      <xdr:row>6</xdr:row>
      <xdr:rowOff>219075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851436C-15C4-4213-96ED-2B66D24E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3275" y="1200150"/>
          <a:ext cx="1009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342900</xdr:colOff>
      <xdr:row>7</xdr:row>
      <xdr:rowOff>190500</xdr:rowOff>
    </xdr:from>
    <xdr:to>
      <xdr:col>26</xdr:col>
      <xdr:colOff>257175</xdr:colOff>
      <xdr:row>10</xdr:row>
      <xdr:rowOff>219075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FA95171-2585-4C64-918D-2E4368E9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0" y="1933575"/>
          <a:ext cx="12858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676275</xdr:colOff>
      <xdr:row>16</xdr:row>
      <xdr:rowOff>66675</xdr:rowOff>
    </xdr:from>
    <xdr:to>
      <xdr:col>26</xdr:col>
      <xdr:colOff>466725</xdr:colOff>
      <xdr:row>18</xdr:row>
      <xdr:rowOff>133350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BE3D7CF-7CAF-4B75-A917-379F3B054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3476625"/>
          <a:ext cx="2209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504825</xdr:colOff>
      <xdr:row>17</xdr:row>
      <xdr:rowOff>57150</xdr:rowOff>
    </xdr:from>
    <xdr:ext cx="279082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8C3B1339-00AE-4DC1-8F0F-4078A56F6395}"/>
                </a:ext>
              </a:extLst>
            </xdr:cNvPr>
            <xdr:cNvSpPr txBox="1"/>
          </xdr:nvSpPr>
          <xdr:spPr>
            <a:xfrm>
              <a:off x="13201650" y="370522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=119.8818852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8C3B1339-00AE-4DC1-8F0F-4078A56F6395}"/>
                </a:ext>
              </a:extLst>
            </xdr:cNvPr>
            <xdr:cNvSpPr txBox="1"/>
          </xdr:nvSpPr>
          <xdr:spPr>
            <a:xfrm>
              <a:off x="13201650" y="370522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_𝑟)/(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))=119.8818852</a:t>
              </a:r>
              <a:endParaRPr kumimoji="1" lang="ja-JP" altLang="en-US" sz="1600"/>
            </a:p>
          </xdr:txBody>
        </xdr:sp>
      </mc:Fallback>
    </mc:AlternateContent>
    <xdr:clientData/>
  </xdr:oneCellAnchor>
  <xdr:twoCellAnchor>
    <xdr:from>
      <xdr:col>20</xdr:col>
      <xdr:colOff>261937</xdr:colOff>
      <xdr:row>27</xdr:row>
      <xdr:rowOff>133350</xdr:rowOff>
    </xdr:from>
    <xdr:to>
      <xdr:col>25</xdr:col>
      <xdr:colOff>176212</xdr:colOff>
      <xdr:row>45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7B07B7-ACB4-61CC-647B-DE1CE9B975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24</xdr:col>
      <xdr:colOff>447675</xdr:colOff>
      <xdr:row>20</xdr:row>
      <xdr:rowOff>38100</xdr:rowOff>
    </xdr:from>
    <xdr:ext cx="1609724" cy="4092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6EA5742D-8758-D2E6-0B01-9C48267A0941}"/>
                </a:ext>
              </a:extLst>
            </xdr:cNvPr>
            <xdr:cNvSpPr txBox="1"/>
          </xdr:nvSpPr>
          <xdr:spPr>
            <a:xfrm>
              <a:off x="18488025" y="4400550"/>
              <a:ext cx="1609724" cy="4092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7</m:t>
                        </m:r>
                      </m:sub>
                    </m:sSub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4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</m:oMath>
                </m:oMathPara>
              </a14:m>
              <a:endParaRPr kumimoji="1" lang="ja-JP" altLang="en-US" sz="14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6EA5742D-8758-D2E6-0B01-9C48267A0941}"/>
                </a:ext>
              </a:extLst>
            </xdr:cNvPr>
            <xdr:cNvSpPr txBox="1"/>
          </xdr:nvSpPr>
          <xdr:spPr>
            <a:xfrm>
              <a:off x="18488025" y="4400550"/>
              <a:ext cx="1609724" cy="4092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400" b="0" i="0">
                  <a:latin typeface="Cambria Math" panose="02040503050406030204" pitchFamily="18" charset="0"/>
                </a:rPr>
                <a:t>𝑓_7=1/</a:t>
              </a:r>
              <a:r>
                <a:rPr kumimoji="1" lang="ja-JP" altLang="en-US" sz="14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 𝑙𝑛(𝐷/𝑎−1)</a:t>
              </a:r>
              <a:endParaRPr kumimoji="1" lang="ja-JP" altLang="en-US" sz="1400"/>
            </a:p>
          </xdr:txBody>
        </xdr:sp>
      </mc:Fallback>
    </mc:AlternateContent>
    <xdr:clientData/>
  </xdr:oneCellAnchor>
  <xdr:twoCellAnchor>
    <xdr:from>
      <xdr:col>17</xdr:col>
      <xdr:colOff>314325</xdr:colOff>
      <xdr:row>11</xdr:row>
      <xdr:rowOff>180975</xdr:rowOff>
    </xdr:from>
    <xdr:to>
      <xdr:col>22</xdr:col>
      <xdr:colOff>1028700</xdr:colOff>
      <xdr:row>24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C1BF60B-C25E-A9D5-0E1E-E8ECE9616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133350</xdr:colOff>
      <xdr:row>18</xdr:row>
      <xdr:rowOff>209550</xdr:rowOff>
    </xdr:from>
    <xdr:ext cx="4924425" cy="9908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8606DEAE-09A8-48E3-9EC5-5F3B4810A0EE}"/>
                </a:ext>
              </a:extLst>
            </xdr:cNvPr>
            <xdr:cNvSpPr txBox="1"/>
          </xdr:nvSpPr>
          <xdr:spPr>
            <a:xfrm>
              <a:off x="12715875" y="4972050"/>
              <a:ext cx="4924425" cy="9908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d>
                              <m:dPr>
                                <m:ctrlPr>
                                  <a:rPr kumimoji="1" lang="en-US" altLang="ja-JP" sz="20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20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e>
                            </m:d>
                            <m:d>
                              <m:dPr>
                                <m:ctrlPr>
                                  <a:rPr kumimoji="1" lang="en-US" altLang="ja-JP" sz="20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2000" b="0" i="1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e>
                            </m:d>
                          </m:e>
                        </m:rad>
                      </m:e>
                    </m:d>
                  </m:oMath>
                </m:oMathPara>
              </a14:m>
              <a:endParaRPr kumimoji="1" lang="ja-JP" altLang="en-US" sz="20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8606DEAE-09A8-48E3-9EC5-5F3B4810A0EE}"/>
                </a:ext>
              </a:extLst>
            </xdr:cNvPr>
            <xdr:cNvSpPr txBox="1"/>
          </xdr:nvSpPr>
          <xdr:spPr>
            <a:xfrm>
              <a:off x="12715875" y="4972050"/>
              <a:ext cx="4924425" cy="9908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2000" b="0" i="0">
                  <a:latin typeface="Cambria Math" panose="02040503050406030204" pitchFamily="18" charset="0"/>
                </a:rPr>
                <a:t>𝑓_3=1/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 𝑙𝑛(1/2  𝐷/𝑎+√((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−1)(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+1) ))</a:t>
              </a:r>
              <a:endParaRPr kumimoji="1" lang="ja-JP" altLang="en-US" sz="2000"/>
            </a:p>
          </xdr:txBody>
        </xdr:sp>
      </mc:Fallback>
    </mc:AlternateContent>
    <xdr:clientData/>
  </xdr:oneCellAnchor>
  <xdr:oneCellAnchor>
    <xdr:from>
      <xdr:col>17</xdr:col>
      <xdr:colOff>590550</xdr:colOff>
      <xdr:row>14</xdr:row>
      <xdr:rowOff>38099</xdr:rowOff>
    </xdr:from>
    <xdr:ext cx="4314825" cy="8096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88AF0021-A7C1-9096-D608-FC546B03745F}"/>
                </a:ext>
              </a:extLst>
            </xdr:cNvPr>
            <xdr:cNvSpPr txBox="1"/>
          </xdr:nvSpPr>
          <xdr:spPr>
            <a:xfrm>
              <a:off x="12287250" y="3848099"/>
              <a:ext cx="4314825" cy="809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8</m:t>
                        </m:r>
                      </m:sub>
                    </m:sSub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ja-JP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</m:den>
                    </m:f>
                    <m:r>
                      <a:rPr kumimoji="1" lang="en-US" altLang="ja-JP" sz="2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𝑙𝑛</m:t>
                    </m:r>
                    <m:d>
                      <m:dPr>
                        <m:ctrlP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2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kumimoji="1" lang="ja-JP" altLang="ja-JP" sz="2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𝛽</m:t>
                            </m:r>
                          </m:num>
                          <m:den>
                            <m:r>
                              <a:rPr kumimoji="1" lang="en-US" altLang="ja-JP" sz="2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</m:t>
                            </m:r>
                          </m:den>
                        </m:f>
                      </m:e>
                    </m:d>
                    <m:r>
                      <a:rPr kumimoji="1" lang="en-US" altLang="ja-JP" sz="2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𝛼</m:t>
                        </m:r>
                      </m:e>
                    </m:d>
                  </m:oMath>
                </m:oMathPara>
              </a14:m>
              <a:endParaRPr kumimoji="1" lang="ja-JP" altLang="en-US" sz="2000"/>
            </a:p>
          </xdr:txBody>
        </xdr:sp>
      </mc:Choice>
      <mc:Fallback xmlns=""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88AF0021-A7C1-9096-D608-FC546B03745F}"/>
                </a:ext>
              </a:extLst>
            </xdr:cNvPr>
            <xdr:cNvSpPr txBox="1"/>
          </xdr:nvSpPr>
          <xdr:spPr>
            <a:xfrm>
              <a:off x="12287250" y="3848099"/>
              <a:ext cx="4314825" cy="809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2000" b="0" i="0">
                  <a:latin typeface="Cambria Math" panose="02040503050406030204" pitchFamily="18" charset="0"/>
                </a:rPr>
                <a:t>𝑓_8=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</a:t>
              </a:r>
              <a:r>
                <a:rPr kumimoji="1" lang="ja-JP" altLang="ja-JP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𝑙𝑛(</a:t>
              </a:r>
              <a:r>
                <a:rPr kumimoji="1" lang="ja-JP" altLang="ja-JP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𝛽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/𝑎)=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 𝑙𝑛(𝐷/𝑎−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𝛼)</a:t>
              </a:r>
              <a:endParaRPr kumimoji="1" lang="ja-JP" altLang="en-US" sz="2000"/>
            </a:p>
          </xdr:txBody>
        </xdr:sp>
      </mc:Fallback>
    </mc:AlternateContent>
    <xdr:clientData/>
  </xdr:oneCellAnchor>
  <xdr:oneCellAnchor>
    <xdr:from>
      <xdr:col>19</xdr:col>
      <xdr:colOff>4762</xdr:colOff>
      <xdr:row>2</xdr:row>
      <xdr:rowOff>171450</xdr:rowOff>
    </xdr:from>
    <xdr:ext cx="1624484" cy="5824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C6FC0689-CF34-E3E7-825E-56C88BC884AD}"/>
                </a:ext>
              </a:extLst>
            </xdr:cNvPr>
            <xdr:cNvSpPr txBox="1"/>
          </xdr:nvSpPr>
          <xdr:spPr>
            <a:xfrm>
              <a:off x="13711237" y="1123950"/>
              <a:ext cx="1624484" cy="582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𝑠</m:t>
                    </m:r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𝛽</m:t>
                        </m:r>
                      </m:num>
                      <m:den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kumimoji="1" lang="ja-JP" altLang="en-US" sz="2000"/>
            </a:p>
          </xdr:txBody>
        </xdr:sp>
      </mc:Choice>
      <mc:Fallback xmlns=""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C6FC0689-CF34-E3E7-825E-56C88BC884AD}"/>
                </a:ext>
              </a:extLst>
            </xdr:cNvPr>
            <xdr:cNvSpPr txBox="1"/>
          </xdr:nvSpPr>
          <xdr:spPr>
            <a:xfrm>
              <a:off x="13711237" y="1123950"/>
              <a:ext cx="1624484" cy="5824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2000" b="0" i="0">
                  <a:latin typeface="Cambria Math" panose="02040503050406030204" pitchFamily="18" charset="0"/>
                </a:rPr>
                <a:t>𝑠=(𝑎+𝐷+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𝛽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)/2</a:t>
              </a:r>
              <a:endParaRPr kumimoji="1" lang="ja-JP" altLang="en-US" sz="2000"/>
            </a:p>
          </xdr:txBody>
        </xdr:sp>
      </mc:Fallback>
    </mc:AlternateContent>
    <xdr:clientData/>
  </xdr:oneCellAnchor>
  <xdr:oneCellAnchor>
    <xdr:from>
      <xdr:col>21</xdr:col>
      <xdr:colOff>547687</xdr:colOff>
      <xdr:row>3</xdr:row>
      <xdr:rowOff>66675</xdr:rowOff>
    </xdr:from>
    <xdr:ext cx="3119124" cy="3727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65A883FC-58AB-CDD6-CB1D-8154385436A9}"/>
                </a:ext>
              </a:extLst>
            </xdr:cNvPr>
            <xdr:cNvSpPr txBox="1"/>
          </xdr:nvSpPr>
          <xdr:spPr>
            <a:xfrm>
              <a:off x="15987712" y="1257300"/>
              <a:ext cx="3119124" cy="3727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2000" b="0"/>
                <a:t>S</a:t>
              </a:r>
              <a14:m>
                <m:oMath xmlns:m="http://schemas.openxmlformats.org/officeDocument/2006/math">
                  <m:r>
                    <a:rPr kumimoji="1" lang="en-US" altLang="ja-JP" sz="2000" b="0" i="1">
                      <a:latin typeface="Cambria Math" panose="02040503050406030204" pitchFamily="18" charset="0"/>
                    </a:rPr>
                    <m:t>=</m:t>
                  </m:r>
                  <m:rad>
                    <m:radPr>
                      <m:degHide m:val="on"/>
                      <m:ctrlPr>
                        <a:rPr kumimoji="1" lang="en-US" altLang="ja-JP" sz="2000" b="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r>
                        <a:rPr kumimoji="1" lang="en-US" altLang="ja-JP" sz="2000" b="0" i="1">
                          <a:latin typeface="Cambria Math" panose="02040503050406030204" pitchFamily="18" charset="0"/>
                        </a:rPr>
                        <m:t>𝑠</m:t>
                      </m:r>
                      <m:d>
                        <m:dPr>
                          <m:ctrlP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  <m:t>𝑠</m:t>
                          </m:r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  <m:t>𝑎</m:t>
                          </m:r>
                        </m:e>
                      </m:d>
                      <m:d>
                        <m:dPr>
                          <m:ctrlP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  <m:t>𝑠</m:t>
                          </m:r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e>
                      </m:d>
                      <m:d>
                        <m:dPr>
                          <m:ctrlP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  <m:t>𝑠</m:t>
                          </m:r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kumimoji="1" lang="ja-JP" altLang="en-US" sz="2000" b="0" i="1">
                              <a:latin typeface="Cambria Math" panose="02040503050406030204" pitchFamily="18" charset="0"/>
                            </a:rPr>
                            <m:t>𝛽</m:t>
                          </m:r>
                        </m:e>
                      </m:d>
                    </m:e>
                  </m:rad>
                </m:oMath>
              </a14:m>
              <a:endParaRPr kumimoji="1" lang="ja-JP" altLang="en-US" sz="2000"/>
            </a:p>
          </xdr:txBody>
        </xdr:sp>
      </mc:Choice>
      <mc:Fallback xmlns="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65A883FC-58AB-CDD6-CB1D-8154385436A9}"/>
                </a:ext>
              </a:extLst>
            </xdr:cNvPr>
            <xdr:cNvSpPr txBox="1"/>
          </xdr:nvSpPr>
          <xdr:spPr>
            <a:xfrm>
              <a:off x="15987712" y="1257300"/>
              <a:ext cx="3119124" cy="3727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2000" b="0"/>
                <a:t>S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=√(𝑠(𝑠−𝑎)(𝑠−𝐷)(𝑠−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𝛽) 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)</a:t>
              </a:r>
              <a:endParaRPr kumimoji="1" lang="ja-JP" altLang="en-US" sz="2000"/>
            </a:p>
          </xdr:txBody>
        </xdr:sp>
      </mc:Fallback>
    </mc:AlternateContent>
    <xdr:clientData/>
  </xdr:oneCellAnchor>
  <xdr:oneCellAnchor>
    <xdr:from>
      <xdr:col>24</xdr:col>
      <xdr:colOff>290512</xdr:colOff>
      <xdr:row>6</xdr:row>
      <xdr:rowOff>66675</xdr:rowOff>
    </xdr:from>
    <xdr:ext cx="1042988" cy="4431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31004491-54B4-DB9B-909F-05DD25B765F7}"/>
                </a:ext>
              </a:extLst>
            </xdr:cNvPr>
            <xdr:cNvSpPr txBox="1"/>
          </xdr:nvSpPr>
          <xdr:spPr>
            <a:xfrm>
              <a:off x="17787937" y="1971675"/>
              <a:ext cx="1042988" cy="4431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h</a:t>
              </a:r>
              <a14:m>
                <m:oMath xmlns:m="http://schemas.openxmlformats.org/officeDocument/2006/math">
                  <m:r>
                    <a:rPr kumimoji="1" lang="en-US" altLang="ja-JP" sz="20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kumimoji="1" lang="en-US" altLang="ja-JP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en-US" altLang="ja-JP" sz="2000" b="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  <m:r>
                        <m:rPr>
                          <m:sty m:val="p"/>
                        </m:rPr>
                        <a:rPr kumimoji="1" lang="en-US" altLang="ja-JP" sz="2000" b="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S</m:t>
                      </m:r>
                    </m:num>
                    <m:den>
                      <m:r>
                        <m:rPr>
                          <m:sty m:val="p"/>
                        </m:rPr>
                        <a:rPr kumimoji="1" lang="en-US" altLang="ja-JP" sz="2000" b="0" i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D</m:t>
                      </m:r>
                    </m:den>
                  </m:f>
                </m:oMath>
              </a14:m>
              <a:endParaRPr kumimoji="1" lang="ja-JP" altLang="en-US" sz="2000" i="0">
                <a:latin typeface="Cambria Math" panose="02040503050406030204" pitchFamily="18" charset="0"/>
                <a:ea typeface="+mn-ea"/>
              </a:endParaRPr>
            </a:p>
          </xdr:txBody>
        </xdr:sp>
      </mc:Choice>
      <mc:Fallback xmlns=""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31004491-54B4-DB9B-909F-05DD25B765F7}"/>
                </a:ext>
              </a:extLst>
            </xdr:cNvPr>
            <xdr:cNvSpPr txBox="1"/>
          </xdr:nvSpPr>
          <xdr:spPr>
            <a:xfrm>
              <a:off x="17787937" y="1971675"/>
              <a:ext cx="1042988" cy="4431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h=2S/D</a:t>
              </a:r>
              <a:endParaRPr kumimoji="1" lang="ja-JP" altLang="en-US" sz="2000" i="0">
                <a:latin typeface="Cambria Math" panose="02040503050406030204" pitchFamily="18" charset="0"/>
                <a:ea typeface="+mn-ea"/>
              </a:endParaRPr>
            </a:p>
          </xdr:txBody>
        </xdr:sp>
      </mc:Fallback>
    </mc:AlternateContent>
    <xdr:clientData/>
  </xdr:oneCellAnchor>
  <xdr:oneCellAnchor>
    <xdr:from>
      <xdr:col>21</xdr:col>
      <xdr:colOff>628650</xdr:colOff>
      <xdr:row>10</xdr:row>
      <xdr:rowOff>19049</xdr:rowOff>
    </xdr:from>
    <xdr:ext cx="2207494" cy="8096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1602B227-DC2D-62EE-3BCD-7A18A5EE5AB6}"/>
                </a:ext>
              </a:extLst>
            </xdr:cNvPr>
            <xdr:cNvSpPr txBox="1"/>
          </xdr:nvSpPr>
          <xdr:spPr>
            <a:xfrm>
              <a:off x="16068675" y="2876549"/>
              <a:ext cx="2207494" cy="809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ja-JP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𝛽</m:t>
                        </m:r>
                      </m:num>
                      <m:den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den>
                    </m:f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kumimoji="1" lang="ja-JP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𝛼</m:t>
                        </m:r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num>
                      <m:den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kumimoji="1" lang="ja-JP" altLang="en-US" sz="20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1602B227-DC2D-62EE-3BCD-7A18A5EE5AB6}"/>
                </a:ext>
              </a:extLst>
            </xdr:cNvPr>
            <xdr:cNvSpPr txBox="1"/>
          </xdr:nvSpPr>
          <xdr:spPr>
            <a:xfrm>
              <a:off x="16068675" y="2876549"/>
              <a:ext cx="2207494" cy="809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ja-JP" altLang="ja-JP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𝛽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/𝑎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(𝐷−</a:t>
              </a:r>
              <a:r>
                <a:rPr kumimoji="1" lang="ja-JP" altLang="ja-JP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𝑎)/𝑎</a:t>
              </a:r>
              <a:endParaRPr kumimoji="1" lang="ja-JP" altLang="en-US" sz="2000"/>
            </a:p>
          </xdr:txBody>
        </xdr:sp>
      </mc:Fallback>
    </mc:AlternateContent>
    <xdr:clientData/>
  </xdr:oneCellAnchor>
  <xdr:twoCellAnchor>
    <xdr:from>
      <xdr:col>5</xdr:col>
      <xdr:colOff>271462</xdr:colOff>
      <xdr:row>6</xdr:row>
      <xdr:rowOff>200025</xdr:rowOff>
    </xdr:from>
    <xdr:to>
      <xdr:col>9</xdr:col>
      <xdr:colOff>1223962</xdr:colOff>
      <xdr:row>18</xdr:row>
      <xdr:rowOff>85725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5FB2143-96A7-4019-6945-79B22184B3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5</xdr:row>
      <xdr:rowOff>47625</xdr:rowOff>
    </xdr:from>
    <xdr:to>
      <xdr:col>12</xdr:col>
      <xdr:colOff>447675</xdr:colOff>
      <xdr:row>19</xdr:row>
      <xdr:rowOff>228600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42A7FD0-93A7-1583-87C3-66A581C91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138112</xdr:colOff>
      <xdr:row>9</xdr:row>
      <xdr:rowOff>209550</xdr:rowOff>
    </xdr:from>
    <xdr:ext cx="2751459" cy="5826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2C97F94D-59E6-3E13-4D05-FA854200319B}"/>
                </a:ext>
              </a:extLst>
            </xdr:cNvPr>
            <xdr:cNvSpPr txBox="1"/>
          </xdr:nvSpPr>
          <xdr:spPr>
            <a:xfrm>
              <a:off x="13635037" y="2828925"/>
              <a:ext cx="2751459" cy="582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𝛼</m:t>
                        </m:r>
                      </m:e>
                      <m:sup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′</m:t>
                        </m:r>
                      </m:sup>
                    </m:sSup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𝑎𝑡𝑎𝑛</m:t>
                    </m:r>
                    <m:d>
                      <m:d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20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−2</m:t>
                        </m:r>
                      </m:e>
                    </m:d>
                  </m:oMath>
                </m:oMathPara>
              </a14:m>
              <a:endParaRPr kumimoji="1" lang="ja-JP" altLang="en-US" sz="20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2C97F94D-59E6-3E13-4D05-FA854200319B}"/>
                </a:ext>
              </a:extLst>
            </xdr:cNvPr>
            <xdr:cNvSpPr txBox="1"/>
          </xdr:nvSpPr>
          <xdr:spPr>
            <a:xfrm>
              <a:off x="13635037" y="2828925"/>
              <a:ext cx="2751459" cy="582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2000" b="0" i="0">
                  <a:latin typeface="Cambria Math" panose="02040503050406030204" pitchFamily="18" charset="0"/>
                </a:rPr>
                <a:t>𝛼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^′=1−2/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 𝑎𝑡𝑎𝑛(𝐷/𝑎−2)</a:t>
              </a:r>
              <a:endParaRPr kumimoji="1" lang="ja-JP" altLang="en-US" sz="2000"/>
            </a:p>
          </xdr:txBody>
        </xdr:sp>
      </mc:Fallback>
    </mc:AlternateContent>
    <xdr:clientData/>
  </xdr:oneCellAnchor>
  <xdr:oneCellAnchor>
    <xdr:from>
      <xdr:col>18</xdr:col>
      <xdr:colOff>381001</xdr:colOff>
      <xdr:row>5</xdr:row>
      <xdr:rowOff>171450</xdr:rowOff>
    </xdr:from>
    <xdr:ext cx="2562224" cy="9093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84593C37-36F8-3FD7-D426-651F556D8D08}"/>
                </a:ext>
              </a:extLst>
            </xdr:cNvPr>
            <xdr:cNvSpPr txBox="1"/>
          </xdr:nvSpPr>
          <xdr:spPr>
            <a:xfrm>
              <a:off x="13877926" y="1838325"/>
              <a:ext cx="2562224" cy="9093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2000" b="0" i="1">
                        <a:latin typeface="Cambria Math" panose="02040503050406030204" pitchFamily="18" charset="0"/>
                      </a:rPr>
                      <m:t>𝛼</m:t>
                    </m:r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"=</m:t>
                    </m:r>
                    <m:f>
                      <m:fPr>
                        <m:ctrlP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</m:num>
                      <m:den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den>
                    </m:f>
                    <m:r>
                      <a:rPr kumimoji="1" lang="en-US" altLang="ja-JP" sz="2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ad>
                      <m:radPr>
                        <m:degHide m:val="on"/>
                        <m:ctrlP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kumimoji="1" lang="en-US" altLang="ja-JP" sz="2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kumimoji="1" lang="en-US" altLang="ja-JP" sz="2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  <m:r>
                                      <a:rPr kumimoji="1" lang="en-US" altLang="ja-JP" sz="2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kumimoji="1" lang="en-US" altLang="ja-JP" sz="2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kumimoji="1" lang="en-US" altLang="ja-JP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</m:t>
                        </m:r>
                      </m:e>
                    </m:rad>
                  </m:oMath>
                </m:oMathPara>
              </a14:m>
              <a:endParaRPr kumimoji="1" lang="ja-JP" altLang="en-US" sz="20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84593C37-36F8-3FD7-D426-651F556D8D08}"/>
                </a:ext>
              </a:extLst>
            </xdr:cNvPr>
            <xdr:cNvSpPr txBox="1"/>
          </xdr:nvSpPr>
          <xdr:spPr>
            <a:xfrm>
              <a:off x="13877926" y="1838325"/>
              <a:ext cx="2562224" cy="9093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2000" b="0" i="0">
                  <a:latin typeface="Cambria Math" panose="02040503050406030204" pitchFamily="18" charset="0"/>
                </a:rPr>
                <a:t>𝛼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"=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𝐷/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𝑎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√((𝐷/2𝑎)^2−1)</a:t>
              </a:r>
              <a:endParaRPr kumimoji="1" lang="ja-JP" altLang="en-US" sz="2000"/>
            </a:p>
          </xdr:txBody>
        </xdr:sp>
      </mc:Fallback>
    </mc:AlternateContent>
    <xdr:clientData/>
  </xdr:oneCellAnchor>
  <xdr:twoCellAnchor>
    <xdr:from>
      <xdr:col>8</xdr:col>
      <xdr:colOff>319087</xdr:colOff>
      <xdr:row>24</xdr:row>
      <xdr:rowOff>123825</xdr:rowOff>
    </xdr:from>
    <xdr:to>
      <xdr:col>14</xdr:col>
      <xdr:colOff>100012</xdr:colOff>
      <xdr:row>36</xdr:row>
      <xdr:rowOff>9525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41B7DAE-BC41-1D2C-7842-4189C458A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304800</xdr:colOff>
      <xdr:row>26</xdr:row>
      <xdr:rowOff>28575</xdr:rowOff>
    </xdr:from>
    <xdr:to>
      <xdr:col>25</xdr:col>
      <xdr:colOff>504825</xdr:colOff>
      <xdr:row>32</xdr:row>
      <xdr:rowOff>9525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F343F7F-57D4-225E-7F78-A64E5CF537DA}"/>
            </a:ext>
          </a:extLst>
        </xdr:cNvPr>
        <xdr:cNvSpPr/>
      </xdr:nvSpPr>
      <xdr:spPr>
        <a:xfrm>
          <a:off x="17116425" y="6696075"/>
          <a:ext cx="1571625" cy="14097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809625</xdr:colOff>
      <xdr:row>26</xdr:row>
      <xdr:rowOff>28575</xdr:rowOff>
    </xdr:from>
    <xdr:to>
      <xdr:col>20</xdr:col>
      <xdr:colOff>209550</xdr:colOff>
      <xdr:row>32</xdr:row>
      <xdr:rowOff>9525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E7DE69DA-99A3-4949-B71B-2A3A0D7335BF}"/>
            </a:ext>
          </a:extLst>
        </xdr:cNvPr>
        <xdr:cNvSpPr/>
      </xdr:nvSpPr>
      <xdr:spPr>
        <a:xfrm>
          <a:off x="13392150" y="6696075"/>
          <a:ext cx="1571625" cy="14097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466725</xdr:colOff>
      <xdr:row>29</xdr:row>
      <xdr:rowOff>47625</xdr:rowOff>
    </xdr:from>
    <xdr:to>
      <xdr:col>24</xdr:col>
      <xdr:colOff>409575</xdr:colOff>
      <xdr:row>29</xdr:row>
      <xdr:rowOff>47625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A8FC133-4E3B-A2F7-D33C-D86CCE5D7C58}"/>
            </a:ext>
          </a:extLst>
        </xdr:cNvPr>
        <xdr:cNvCxnSpPr/>
      </xdr:nvCxnSpPr>
      <xdr:spPr>
        <a:xfrm>
          <a:off x="14173200" y="7429500"/>
          <a:ext cx="3733800" cy="0"/>
        </a:xfrm>
        <a:prstGeom prst="line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466725</xdr:colOff>
      <xdr:row>26</xdr:row>
      <xdr:rowOff>235021</xdr:rowOff>
    </xdr:from>
    <xdr:to>
      <xdr:col>19</xdr:col>
      <xdr:colOff>1027141</xdr:colOff>
      <xdr:row>29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412CC4C-67EC-308B-2F24-46D3B00229F4}"/>
            </a:ext>
          </a:extLst>
        </xdr:cNvPr>
        <xdr:cNvCxnSpPr>
          <a:endCxn id="10" idx="7"/>
        </xdr:cNvCxnSpPr>
      </xdr:nvCxnSpPr>
      <xdr:spPr>
        <a:xfrm flipV="1">
          <a:off x="14173200" y="6902521"/>
          <a:ext cx="560416" cy="517454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1027141</xdr:colOff>
      <xdr:row>26</xdr:row>
      <xdr:rowOff>235021</xdr:rowOff>
    </xdr:from>
    <xdr:to>
      <xdr:col>24</xdr:col>
      <xdr:colOff>428625</xdr:colOff>
      <xdr:row>29</xdr:row>
      <xdr:rowOff>47625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7CCBDB51-613B-653B-D8DC-6AD3609DF436}"/>
            </a:ext>
          </a:extLst>
        </xdr:cNvPr>
        <xdr:cNvCxnSpPr>
          <a:stCxn id="10" idx="7"/>
        </xdr:cNvCxnSpPr>
      </xdr:nvCxnSpPr>
      <xdr:spPr>
        <a:xfrm>
          <a:off x="14733616" y="6902521"/>
          <a:ext cx="3192434" cy="526979"/>
        </a:xfrm>
        <a:prstGeom prst="line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26</xdr:row>
      <xdr:rowOff>190500</xdr:rowOff>
    </xdr:from>
    <xdr:to>
      <xdr:col>19</xdr:col>
      <xdr:colOff>904875</xdr:colOff>
      <xdr:row>28</xdr:row>
      <xdr:rowOff>161925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CCF4B6F-5209-EAC8-2398-B254F7DDE898}"/>
            </a:ext>
          </a:extLst>
        </xdr:cNvPr>
        <xdr:cNvSpPr txBox="1"/>
      </xdr:nvSpPr>
      <xdr:spPr>
        <a:xfrm>
          <a:off x="14154150" y="6858000"/>
          <a:ext cx="4572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/>
            <a:t>a</a:t>
          </a:r>
          <a:endParaRPr kumimoji="1" lang="ja-JP" altLang="en-US" sz="2000"/>
        </a:p>
      </xdr:txBody>
    </xdr:sp>
    <xdr:clientData/>
  </xdr:twoCellAnchor>
  <xdr:twoCellAnchor>
    <xdr:from>
      <xdr:col>21</xdr:col>
      <xdr:colOff>200025</xdr:colOff>
      <xdr:row>28</xdr:row>
      <xdr:rowOff>190500</xdr:rowOff>
    </xdr:from>
    <xdr:to>
      <xdr:col>21</xdr:col>
      <xdr:colOff>657225</xdr:colOff>
      <xdr:row>30</xdr:row>
      <xdr:rowOff>161925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33637E1-D04A-7BF3-DA2E-2A18957695D6}"/>
            </a:ext>
          </a:extLst>
        </xdr:cNvPr>
        <xdr:cNvSpPr txBox="1"/>
      </xdr:nvSpPr>
      <xdr:spPr>
        <a:xfrm>
          <a:off x="15640050" y="7334250"/>
          <a:ext cx="4572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/>
            <a:t>D</a:t>
          </a:r>
          <a:endParaRPr kumimoji="1" lang="ja-JP" altLang="en-US" sz="2000"/>
        </a:p>
      </xdr:txBody>
    </xdr:sp>
    <xdr:clientData/>
  </xdr:twoCellAnchor>
  <xdr:twoCellAnchor>
    <xdr:from>
      <xdr:col>21</xdr:col>
      <xdr:colOff>200024</xdr:colOff>
      <xdr:row>26</xdr:row>
      <xdr:rowOff>85725</xdr:rowOff>
    </xdr:from>
    <xdr:to>
      <xdr:col>22</xdr:col>
      <xdr:colOff>304799</xdr:colOff>
      <xdr:row>28</xdr:row>
      <xdr:rowOff>57150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58D840F-C9D6-B5E7-6D55-BA9A3DAEC123}"/>
            </a:ext>
          </a:extLst>
        </xdr:cNvPr>
        <xdr:cNvSpPr txBox="1"/>
      </xdr:nvSpPr>
      <xdr:spPr>
        <a:xfrm>
          <a:off x="15640049" y="6753225"/>
          <a:ext cx="790575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/>
            <a:t>β</a:t>
          </a:r>
          <a:endParaRPr kumimoji="1" lang="ja-JP" altLang="en-US" sz="2000"/>
        </a:p>
      </xdr:txBody>
    </xdr:sp>
    <xdr:clientData/>
  </xdr:twoCellAnchor>
  <xdr:twoCellAnchor>
    <xdr:from>
      <xdr:col>19</xdr:col>
      <xdr:colOff>1027141</xdr:colOff>
      <xdr:row>26</xdr:row>
      <xdr:rowOff>235021</xdr:rowOff>
    </xdr:from>
    <xdr:to>
      <xdr:col>19</xdr:col>
      <xdr:colOff>1028700</xdr:colOff>
      <xdr:row>29</xdr:row>
      <xdr:rowOff>28575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AA7CE609-589D-74E9-59D6-03A18DBED874}"/>
            </a:ext>
          </a:extLst>
        </xdr:cNvPr>
        <xdr:cNvCxnSpPr>
          <a:stCxn id="10" idx="7"/>
        </xdr:cNvCxnSpPr>
      </xdr:nvCxnSpPr>
      <xdr:spPr>
        <a:xfrm>
          <a:off x="14733616" y="6902521"/>
          <a:ext cx="1559" cy="50792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942975</xdr:colOff>
      <xdr:row>27</xdr:row>
      <xdr:rowOff>66675</xdr:rowOff>
    </xdr:from>
    <xdr:to>
      <xdr:col>20</xdr:col>
      <xdr:colOff>352425</xdr:colOff>
      <xdr:row>29</xdr:row>
      <xdr:rowOff>38100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1026C03-C399-5B93-D9B4-FA59FDE22E65}"/>
            </a:ext>
          </a:extLst>
        </xdr:cNvPr>
        <xdr:cNvSpPr txBox="1"/>
      </xdr:nvSpPr>
      <xdr:spPr>
        <a:xfrm>
          <a:off x="14649450" y="6972300"/>
          <a:ext cx="4572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/>
            <a:t>h</a:t>
          </a:r>
          <a:endParaRPr kumimoji="1" lang="ja-JP" altLang="en-US" sz="2000"/>
        </a:p>
      </xdr:txBody>
    </xdr:sp>
    <xdr:clientData/>
  </xdr:twoCellAnchor>
  <xdr:twoCellAnchor>
    <xdr:from>
      <xdr:col>19</xdr:col>
      <xdr:colOff>476250</xdr:colOff>
      <xdr:row>29</xdr:row>
      <xdr:rowOff>142875</xdr:rowOff>
    </xdr:from>
    <xdr:to>
      <xdr:col>20</xdr:col>
      <xdr:colOff>38100</xdr:colOff>
      <xdr:row>29</xdr:row>
      <xdr:rowOff>142875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C5F6ADF1-89F0-4B25-AA93-82BF6B9765A8}"/>
            </a:ext>
          </a:extLst>
        </xdr:cNvPr>
        <xdr:cNvCxnSpPr/>
      </xdr:nvCxnSpPr>
      <xdr:spPr>
        <a:xfrm>
          <a:off x="12677775" y="7048500"/>
          <a:ext cx="609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533400</xdr:colOff>
      <xdr:row>29</xdr:row>
      <xdr:rowOff>9525</xdr:rowOff>
    </xdr:from>
    <xdr:to>
      <xdr:col>19</xdr:col>
      <xdr:colOff>990600</xdr:colOff>
      <xdr:row>30</xdr:row>
      <xdr:rowOff>219075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5D9F0AC-17F8-635F-4187-7B6001FF48CA}"/>
            </a:ext>
          </a:extLst>
        </xdr:cNvPr>
        <xdr:cNvSpPr txBox="1"/>
      </xdr:nvSpPr>
      <xdr:spPr>
        <a:xfrm>
          <a:off x="12734925" y="6915150"/>
          <a:ext cx="4572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/>
            <a:t>x</a:t>
          </a:r>
          <a:endParaRPr kumimoji="1" lang="ja-JP" altLang="en-US" sz="2000"/>
        </a:p>
      </xdr:txBody>
    </xdr:sp>
    <xdr:clientData/>
  </xdr:twoCellAnchor>
  <xdr:twoCellAnchor>
    <xdr:from>
      <xdr:col>19</xdr:col>
      <xdr:colOff>504825</xdr:colOff>
      <xdr:row>27</xdr:row>
      <xdr:rowOff>209550</xdr:rowOff>
    </xdr:from>
    <xdr:to>
      <xdr:col>19</xdr:col>
      <xdr:colOff>962025</xdr:colOff>
      <xdr:row>29</xdr:row>
      <xdr:rowOff>180975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5E96C80-54C9-965C-5348-49CFAAD96341}"/>
            </a:ext>
          </a:extLst>
        </xdr:cNvPr>
        <xdr:cNvSpPr txBox="1"/>
      </xdr:nvSpPr>
      <xdr:spPr>
        <a:xfrm>
          <a:off x="12706350" y="6638925"/>
          <a:ext cx="45720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/>
            <a:t>θ</a:t>
          </a:r>
          <a:endParaRPr kumimoji="1" lang="ja-JP" altLang="en-US" sz="2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371475</xdr:colOff>
      <xdr:row>2</xdr:row>
      <xdr:rowOff>19050</xdr:rowOff>
    </xdr:from>
    <xdr:ext cx="3962400" cy="8043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EC3FC09C-0FA7-4EDF-846C-8621363A4725}"/>
                </a:ext>
              </a:extLst>
            </xdr:cNvPr>
            <xdr:cNvSpPr txBox="1"/>
          </xdr:nvSpPr>
          <xdr:spPr>
            <a:xfrm>
              <a:off x="9448800" y="495300"/>
              <a:ext cx="3962400" cy="8043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ja-JP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</m:e>
                    </m:rad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𝑙𝑜𝑔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num>
                          <m:den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kumimoji="1" lang="en-US" altLang="ja-JP" sz="16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kumimoji="1" lang="en-US" altLang="ja-JP" sz="16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kumimoji="1" lang="en-US" altLang="ja-JP" sz="16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𝑟</m:t>
                                        </m:r>
                                      </m:num>
                                      <m:den>
                                        <m:r>
                                          <a:rPr kumimoji="1" lang="en-US" altLang="ja-JP" sz="1600" b="0" i="1"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den>
                                    </m:f>
                                  </m:e>
                                </m:d>
                              </m:e>
                              <m:sup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rad>
                      </m:e>
                    </m:d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EC3FC09C-0FA7-4EDF-846C-8621363A4725}"/>
                </a:ext>
              </a:extLst>
            </xdr:cNvPr>
            <xdr:cNvSpPr txBox="1"/>
          </xdr:nvSpPr>
          <xdr:spPr>
            <a:xfrm>
              <a:off x="9448800" y="495300"/>
              <a:ext cx="3962400" cy="8043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𝑍_3 (𝑟)=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√((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_𝑟)/(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)) 〖𝑙𝑜𝑔〗_𝑒 (𝑟/2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+√((𝑟/2)^2−1))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12</xdr:col>
      <xdr:colOff>400050</xdr:colOff>
      <xdr:row>6</xdr:row>
      <xdr:rowOff>9525</xdr:rowOff>
    </xdr:from>
    <xdr:ext cx="396240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24971683-0084-8018-44B8-E737016A0B74}"/>
                </a:ext>
              </a:extLst>
            </xdr:cNvPr>
            <xdr:cNvSpPr txBox="1"/>
          </xdr:nvSpPr>
          <xdr:spPr>
            <a:xfrm>
              <a:off x="9477375" y="1457325"/>
              <a:ext cx="3962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24971683-0084-8018-44B8-E737016A0B74}"/>
                </a:ext>
              </a:extLst>
            </xdr:cNvPr>
            <xdr:cNvSpPr txBox="1"/>
          </xdr:nvSpPr>
          <xdr:spPr>
            <a:xfrm>
              <a:off x="9477375" y="1457325"/>
              <a:ext cx="3962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𝑔(𝑟)=𝑍_3 (𝑟)</a:t>
              </a:r>
              <a:r>
                <a:rPr kumimoji="1" lang="en-US" altLang="ja-JP" sz="1600" b="0" i="0">
                  <a:latin typeface="+mn-lt"/>
                  <a:ea typeface="Cambria Math" panose="02040503050406030204" pitchFamily="18" charset="0"/>
                </a:rPr>
                <a:t>−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𝑍_0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12</xdr:col>
      <xdr:colOff>561975</xdr:colOff>
      <xdr:row>9</xdr:row>
      <xdr:rowOff>76200</xdr:rowOff>
    </xdr:from>
    <xdr:ext cx="2905125" cy="4822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72FB08E7-575F-5A98-052B-415421FD5880}"/>
                </a:ext>
              </a:extLst>
            </xdr:cNvPr>
            <xdr:cNvSpPr txBox="1"/>
          </xdr:nvSpPr>
          <xdr:spPr>
            <a:xfrm>
              <a:off x="9639300" y="2238375"/>
              <a:ext cx="2905125" cy="482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+∆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𝑟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+⋯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72FB08E7-575F-5A98-052B-415421FD5880}"/>
                </a:ext>
              </a:extLst>
            </xdr:cNvPr>
            <xdr:cNvSpPr txBox="1"/>
          </xdr:nvSpPr>
          <xdr:spPr>
            <a:xfrm>
              <a:off x="9639300" y="2238375"/>
              <a:ext cx="2905125" cy="482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+∆𝑟)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=𝑔(𝑟)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kumimoji="1" lang="ja-JP" alt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𝑔/</a:t>
              </a:r>
              <a:r>
                <a:rPr kumimoji="1" lang="ja-JP" alt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𝑟 ∆𝑟+⋯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12</xdr:col>
      <xdr:colOff>428625</xdr:colOff>
      <xdr:row>13</xdr:row>
      <xdr:rowOff>200025</xdr:rowOff>
    </xdr:from>
    <xdr:ext cx="3962400" cy="6009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33BCC720-1D52-9316-DDAA-B670270F350E}"/>
                </a:ext>
              </a:extLst>
            </xdr:cNvPr>
            <xdr:cNvSpPr txBox="1"/>
          </xdr:nvSpPr>
          <xdr:spPr>
            <a:xfrm>
              <a:off x="9505950" y="3314700"/>
              <a:ext cx="3962400" cy="600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∆</m:t>
                    </m:r>
                    <m:r>
                      <a:rPr kumimoji="1" lang="en-US" altLang="ja-JP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𝑔</m:t>
                        </m:r>
                        <m:d>
                          <m:d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</m:d>
                      </m:num>
                      <m:den>
                        <m:sSup>
                          <m:sSup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𝑔</m:t>
                            </m:r>
                          </m:e>
                          <m:sup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</m:d>
                      </m:den>
                    </m:f>
                  </m:oMath>
                </m:oMathPara>
              </a14:m>
              <a:endParaRPr kumimoji="1" lang="ja-JP" altLang="en-US" sz="18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33BCC720-1D52-9316-DDAA-B670270F350E}"/>
                </a:ext>
              </a:extLst>
            </xdr:cNvPr>
            <xdr:cNvSpPr txBox="1"/>
          </xdr:nvSpPr>
          <xdr:spPr>
            <a:xfrm>
              <a:off x="9505950" y="3314700"/>
              <a:ext cx="3962400" cy="600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∆𝑟</a:t>
              </a:r>
              <a:r>
                <a:rPr kumimoji="1" lang="en-US" altLang="ja-JP" sz="1800" b="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𝑔(𝑟)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/(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𝑔^′ (𝑟)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)</a:t>
              </a:r>
              <a:endParaRPr kumimoji="1" lang="ja-JP" altLang="en-US" sz="1800"/>
            </a:p>
          </xdr:txBody>
        </xdr:sp>
      </mc:Fallback>
    </mc:AlternateContent>
    <xdr:clientData/>
  </xdr:oneCellAnchor>
  <xdr:oneCellAnchor>
    <xdr:from>
      <xdr:col>17</xdr:col>
      <xdr:colOff>590550</xdr:colOff>
      <xdr:row>10</xdr:row>
      <xdr:rowOff>0</xdr:rowOff>
    </xdr:from>
    <xdr:ext cx="2905125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9B5E6B2F-A919-24E8-003F-884F384AB26C}"/>
                </a:ext>
              </a:extLst>
            </xdr:cNvPr>
            <xdr:cNvSpPr txBox="1"/>
          </xdr:nvSpPr>
          <xdr:spPr>
            <a:xfrm>
              <a:off x="13096875" y="2400300"/>
              <a:ext cx="290512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+∆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p>
                      <m:sSup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′</m:t>
                        </m:r>
                      </m:sup>
                    </m:sSup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𝑟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+⋯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9B5E6B2F-A919-24E8-003F-884F384AB26C}"/>
                </a:ext>
              </a:extLst>
            </xdr:cNvPr>
            <xdr:cNvSpPr txBox="1"/>
          </xdr:nvSpPr>
          <xdr:spPr>
            <a:xfrm>
              <a:off x="13096875" y="2400300"/>
              <a:ext cx="290512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+∆𝑟)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=𝑔(𝑟)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+𝑔^′ (𝑟)∆𝑟+⋯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314325</xdr:colOff>
      <xdr:row>1</xdr:row>
      <xdr:rowOff>85725</xdr:rowOff>
    </xdr:from>
    <xdr:ext cx="7534275" cy="816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A52E7BE7-584E-4AC3-AEB0-543889697847}"/>
                </a:ext>
              </a:extLst>
            </xdr:cNvPr>
            <xdr:cNvSpPr txBox="1"/>
          </xdr:nvSpPr>
          <xdr:spPr>
            <a:xfrm>
              <a:off x="11401425" y="323850"/>
              <a:ext cx="7534275" cy="816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ja-JP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</m:e>
                    </m:rad>
                    <m:rad>
                      <m:radPr>
                        <m:degHide m:val="on"/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d>
                          <m:d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0.3</m:t>
                            </m:r>
                            <m:r>
                              <m:rPr>
                                <m:sty m:val="p"/>
                              </m:rPr>
                              <a:rPr kumimoji="1" lang="en-US" altLang="ja-JP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exp</m:t>
                            </m:r>
                            <m:d>
                              <m:d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−0.25</m:t>
                                </m:r>
                                <m:d>
                                  <m:d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𝑟</m:t>
                                        </m:r>
                                      </m:num>
                                      <m:den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den>
                                    </m:f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</m:e>
                                </m:d>
                              </m:e>
                            </m:d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𝑙𝑜𝑔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𝑒</m:t>
                                </m:r>
                              </m:sub>
                            </m:sSub>
                            <m:d>
                              <m:d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𝑟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ad>
                                  <m:radPr>
                                    <m:degHide m:val="on"/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radPr>
                                  <m:deg/>
                                  <m:e>
                                    <m:sSup>
                                      <m:sSupPr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f>
                                              <m:fPr>
                                                <m:ctrlPr>
                                                  <a:rPr kumimoji="1" lang="en-US" altLang="ja-JP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kumimoji="1" lang="en-US" altLang="ja-JP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𝑟</m:t>
                                                </m:r>
                                              </m:num>
                                              <m:den>
                                                <m:r>
                                                  <a:rPr kumimoji="1" lang="en-US" altLang="ja-JP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2</m:t>
                                                </m:r>
                                              </m:den>
                                            </m:f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</m:e>
                                </m:rad>
                              </m:e>
                            </m:d>
                          </m:e>
                        </m:d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𝑙𝑜𝑔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  <m:d>
                          <m:d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𝑟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ad>
                              <m:radPr>
                                <m:degHide m:val="on"/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sSup>
                                  <m:sSup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𝑟</m:t>
                                            </m:r>
                                          </m:num>
                                          <m:den>
                                            <m: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−1</m:t>
                                </m:r>
                              </m:e>
                            </m:rad>
                          </m:e>
                        </m:d>
                      </m:e>
                    </m:ra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A52E7BE7-584E-4AC3-AEB0-543889697847}"/>
                </a:ext>
              </a:extLst>
            </xdr:cNvPr>
            <xdr:cNvSpPr txBox="1"/>
          </xdr:nvSpPr>
          <xdr:spPr>
            <a:xfrm>
              <a:off x="11401425" y="323850"/>
              <a:ext cx="7534275" cy="816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𝑍_𝑛𝑒𝑤 (𝑟)=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√((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_𝑟)/(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_𝑟 )) √(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(0.3exp(−0.25(𝑟/2−1))+〖𝑙𝑜𝑔〗_𝑒 (𝑟/2+√((𝑟/2)^2−1))) 〖𝑙𝑜𝑔〗_𝑒 (𝑟/2+√((𝑟/2)^2−1)) 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16</xdr:col>
      <xdr:colOff>457200</xdr:colOff>
      <xdr:row>6</xdr:row>
      <xdr:rowOff>171450</xdr:rowOff>
    </xdr:from>
    <xdr:ext cx="396240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5E2D817B-38FB-4955-B4D4-08188F1309EE}"/>
                </a:ext>
              </a:extLst>
            </xdr:cNvPr>
            <xdr:cNvSpPr txBox="1"/>
          </xdr:nvSpPr>
          <xdr:spPr>
            <a:xfrm>
              <a:off x="12915900" y="1619250"/>
              <a:ext cx="3962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5E2D817B-38FB-4955-B4D4-08188F1309EE}"/>
                </a:ext>
              </a:extLst>
            </xdr:cNvPr>
            <xdr:cNvSpPr txBox="1"/>
          </xdr:nvSpPr>
          <xdr:spPr>
            <a:xfrm>
              <a:off x="12915900" y="1619250"/>
              <a:ext cx="3962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𝑔(𝑟)=𝑍_𝑛𝑒𝑤 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−𝑍_0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16</xdr:col>
      <xdr:colOff>561975</xdr:colOff>
      <xdr:row>9</xdr:row>
      <xdr:rowOff>76200</xdr:rowOff>
    </xdr:from>
    <xdr:ext cx="2905125" cy="4822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A32FA8B4-531F-486C-8406-A97CBD65F2CA}"/>
                </a:ext>
              </a:extLst>
            </xdr:cNvPr>
            <xdr:cNvSpPr txBox="1"/>
          </xdr:nvSpPr>
          <xdr:spPr>
            <a:xfrm>
              <a:off x="13020675" y="2238375"/>
              <a:ext cx="2905125" cy="482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+∆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𝑟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+⋯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A32FA8B4-531F-486C-8406-A97CBD65F2CA}"/>
                </a:ext>
              </a:extLst>
            </xdr:cNvPr>
            <xdr:cNvSpPr txBox="1"/>
          </xdr:nvSpPr>
          <xdr:spPr>
            <a:xfrm>
              <a:off x="13020675" y="2238375"/>
              <a:ext cx="2905125" cy="482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+∆𝑟)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=𝑔(𝑟)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kumimoji="1" lang="ja-JP" alt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𝑔/</a:t>
              </a:r>
              <a:r>
                <a:rPr kumimoji="1" lang="ja-JP" alt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𝑟 ∆𝑟+⋯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16</xdr:col>
      <xdr:colOff>428625</xdr:colOff>
      <xdr:row>13</xdr:row>
      <xdr:rowOff>200025</xdr:rowOff>
    </xdr:from>
    <xdr:ext cx="3962400" cy="6009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C633D116-D065-497E-92D0-94DE4FC05619}"/>
                </a:ext>
              </a:extLst>
            </xdr:cNvPr>
            <xdr:cNvSpPr txBox="1"/>
          </xdr:nvSpPr>
          <xdr:spPr>
            <a:xfrm>
              <a:off x="12887325" y="3314700"/>
              <a:ext cx="3962400" cy="600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∆</m:t>
                    </m:r>
                    <m:r>
                      <a:rPr kumimoji="1" lang="en-US" altLang="ja-JP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𝑔</m:t>
                        </m:r>
                        <m:d>
                          <m:d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</m:d>
                      </m:num>
                      <m:den>
                        <m:sSup>
                          <m:sSup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𝑔</m:t>
                            </m:r>
                          </m:e>
                          <m:sup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</m:d>
                      </m:den>
                    </m:f>
                  </m:oMath>
                </m:oMathPara>
              </a14:m>
              <a:endParaRPr kumimoji="1" lang="ja-JP" altLang="en-US" sz="18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C633D116-D065-497E-92D0-94DE4FC05619}"/>
                </a:ext>
              </a:extLst>
            </xdr:cNvPr>
            <xdr:cNvSpPr txBox="1"/>
          </xdr:nvSpPr>
          <xdr:spPr>
            <a:xfrm>
              <a:off x="12887325" y="3314700"/>
              <a:ext cx="3962400" cy="600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∆𝑟</a:t>
              </a:r>
              <a:r>
                <a:rPr kumimoji="1" lang="en-US" altLang="ja-JP" sz="1800" b="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𝑔(𝑟)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/(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𝑔^′ (𝑟) 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kumimoji="1" lang="ja-JP" altLang="en-US" sz="1800"/>
            </a:p>
          </xdr:txBody>
        </xdr:sp>
      </mc:Fallback>
    </mc:AlternateContent>
    <xdr:clientData/>
  </xdr:oneCellAnchor>
  <xdr:oneCellAnchor>
    <xdr:from>
      <xdr:col>21</xdr:col>
      <xdr:colOff>590550</xdr:colOff>
      <xdr:row>10</xdr:row>
      <xdr:rowOff>0</xdr:rowOff>
    </xdr:from>
    <xdr:ext cx="2905125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4F220EB5-ED67-4376-AAA7-047E5D566FC3}"/>
                </a:ext>
              </a:extLst>
            </xdr:cNvPr>
            <xdr:cNvSpPr txBox="1"/>
          </xdr:nvSpPr>
          <xdr:spPr>
            <a:xfrm>
              <a:off x="16478250" y="2400300"/>
              <a:ext cx="290512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+∆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p>
                      <m:sSup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′</m:t>
                        </m:r>
                      </m:sup>
                    </m:sSup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𝑟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+⋯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4F220EB5-ED67-4376-AAA7-047E5D566FC3}"/>
                </a:ext>
              </a:extLst>
            </xdr:cNvPr>
            <xdr:cNvSpPr txBox="1"/>
          </xdr:nvSpPr>
          <xdr:spPr>
            <a:xfrm>
              <a:off x="16478250" y="2400300"/>
              <a:ext cx="290512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+∆𝑟)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=𝑔(𝑟)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+𝑔^′ (𝑟)∆𝑟+⋯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314325</xdr:colOff>
      <xdr:row>1</xdr:row>
      <xdr:rowOff>85725</xdr:rowOff>
    </xdr:from>
    <xdr:ext cx="7534275" cy="816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E68B0E53-D407-4E8F-9673-2D5BD96E1AD2}"/>
                </a:ext>
              </a:extLst>
            </xdr:cNvPr>
            <xdr:cNvSpPr txBox="1"/>
          </xdr:nvSpPr>
          <xdr:spPr>
            <a:xfrm>
              <a:off x="11401425" y="323850"/>
              <a:ext cx="7534275" cy="816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ja-JP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</m:e>
                    </m:rad>
                    <m:rad>
                      <m:radPr>
                        <m:degHide m:val="on"/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d>
                          <m:d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0.3</m:t>
                            </m:r>
                            <m:r>
                              <m:rPr>
                                <m:sty m:val="p"/>
                              </m:rPr>
                              <a:rPr kumimoji="1" lang="en-US" altLang="ja-JP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exp</m:t>
                            </m:r>
                            <m:d>
                              <m:d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−0.25</m:t>
                                </m:r>
                                <m:d>
                                  <m:d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𝑟</m:t>
                                        </m:r>
                                      </m:num>
                                      <m:den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den>
                                    </m:f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</m:e>
                                </m:d>
                              </m:e>
                            </m:d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𝑙𝑜𝑔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𝑒</m:t>
                                </m:r>
                              </m:sub>
                            </m:sSub>
                            <m:d>
                              <m:d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𝑟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ad>
                                  <m:radPr>
                                    <m:degHide m:val="on"/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radPr>
                                  <m:deg/>
                                  <m:e>
                                    <m:sSup>
                                      <m:sSupPr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f>
                                              <m:fPr>
                                                <m:ctrlPr>
                                                  <a:rPr kumimoji="1" lang="en-US" altLang="ja-JP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kumimoji="1" lang="en-US" altLang="ja-JP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𝑟</m:t>
                                                </m:r>
                                              </m:num>
                                              <m:den>
                                                <m:r>
                                                  <a:rPr kumimoji="1" lang="en-US" altLang="ja-JP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2</m:t>
                                                </m:r>
                                              </m:den>
                                            </m:f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</m:e>
                                </m:rad>
                              </m:e>
                            </m:d>
                          </m:e>
                        </m:d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𝑙𝑜𝑔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  <m:d>
                          <m:d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𝑟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ad>
                              <m:radPr>
                                <m:degHide m:val="on"/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sSup>
                                  <m:sSup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𝑟</m:t>
                                            </m:r>
                                          </m:num>
                                          <m:den>
                                            <m: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−1</m:t>
                                </m:r>
                              </m:e>
                            </m:rad>
                          </m:e>
                        </m:d>
                      </m:e>
                    </m:ra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E68B0E53-D407-4E8F-9673-2D5BD96E1AD2}"/>
                </a:ext>
              </a:extLst>
            </xdr:cNvPr>
            <xdr:cNvSpPr txBox="1"/>
          </xdr:nvSpPr>
          <xdr:spPr>
            <a:xfrm>
              <a:off x="11401425" y="323850"/>
              <a:ext cx="7534275" cy="816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𝑍_𝑛𝑒𝑤 (𝑟)=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√((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_𝑟)/(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_𝑟 )) √(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(0.3exp(−0.25(𝑟/2−1))+〖𝑙𝑜𝑔〗_𝑒 (𝑟/2+√((𝑟/2)^2−1))) 〖𝑙𝑜𝑔〗_𝑒 (𝑟/2+√((𝑟/2)^2−1)) 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16</xdr:col>
      <xdr:colOff>457200</xdr:colOff>
      <xdr:row>6</xdr:row>
      <xdr:rowOff>171450</xdr:rowOff>
    </xdr:from>
    <xdr:ext cx="396240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F6B2E97F-AD8C-4E8D-8545-43129670EFBB}"/>
                </a:ext>
              </a:extLst>
            </xdr:cNvPr>
            <xdr:cNvSpPr txBox="1"/>
          </xdr:nvSpPr>
          <xdr:spPr>
            <a:xfrm>
              <a:off x="12915900" y="1619250"/>
              <a:ext cx="3962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F6B2E97F-AD8C-4E8D-8545-43129670EFBB}"/>
                </a:ext>
              </a:extLst>
            </xdr:cNvPr>
            <xdr:cNvSpPr txBox="1"/>
          </xdr:nvSpPr>
          <xdr:spPr>
            <a:xfrm>
              <a:off x="12915900" y="1619250"/>
              <a:ext cx="3962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𝑔(𝑟)=𝑍_𝑛𝑒𝑤 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−𝑍_0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16</xdr:col>
      <xdr:colOff>561975</xdr:colOff>
      <xdr:row>9</xdr:row>
      <xdr:rowOff>76200</xdr:rowOff>
    </xdr:from>
    <xdr:ext cx="2905125" cy="4822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CC025717-7DBC-4DAF-A675-E91590773346}"/>
                </a:ext>
              </a:extLst>
            </xdr:cNvPr>
            <xdr:cNvSpPr txBox="1"/>
          </xdr:nvSpPr>
          <xdr:spPr>
            <a:xfrm>
              <a:off x="13020675" y="2238375"/>
              <a:ext cx="2905125" cy="482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+∆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𝑟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+⋯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CC025717-7DBC-4DAF-A675-E91590773346}"/>
                </a:ext>
              </a:extLst>
            </xdr:cNvPr>
            <xdr:cNvSpPr txBox="1"/>
          </xdr:nvSpPr>
          <xdr:spPr>
            <a:xfrm>
              <a:off x="13020675" y="2238375"/>
              <a:ext cx="2905125" cy="482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+∆𝑟)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=𝑔(𝑟)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kumimoji="1" lang="ja-JP" alt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𝑔/</a:t>
              </a:r>
              <a:r>
                <a:rPr kumimoji="1" lang="ja-JP" alt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𝑟 ∆𝑟+⋯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16</xdr:col>
      <xdr:colOff>428625</xdr:colOff>
      <xdr:row>13</xdr:row>
      <xdr:rowOff>200025</xdr:rowOff>
    </xdr:from>
    <xdr:ext cx="3962400" cy="6009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4D2BC21B-B79C-4BEF-8F7E-E9CAABC05AE4}"/>
                </a:ext>
              </a:extLst>
            </xdr:cNvPr>
            <xdr:cNvSpPr txBox="1"/>
          </xdr:nvSpPr>
          <xdr:spPr>
            <a:xfrm>
              <a:off x="12887325" y="3314700"/>
              <a:ext cx="3962400" cy="600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∆</m:t>
                    </m:r>
                    <m:r>
                      <a:rPr kumimoji="1" lang="en-US" altLang="ja-JP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𝑔</m:t>
                        </m:r>
                        <m:d>
                          <m:d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</m:d>
                      </m:num>
                      <m:den>
                        <m:sSup>
                          <m:sSup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𝑔</m:t>
                            </m:r>
                          </m:e>
                          <m:sup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</m:d>
                      </m:den>
                    </m:f>
                  </m:oMath>
                </m:oMathPara>
              </a14:m>
              <a:endParaRPr kumimoji="1" lang="ja-JP" altLang="en-US" sz="18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4D2BC21B-B79C-4BEF-8F7E-E9CAABC05AE4}"/>
                </a:ext>
              </a:extLst>
            </xdr:cNvPr>
            <xdr:cNvSpPr txBox="1"/>
          </xdr:nvSpPr>
          <xdr:spPr>
            <a:xfrm>
              <a:off x="12887325" y="3314700"/>
              <a:ext cx="3962400" cy="600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∆𝑟</a:t>
              </a:r>
              <a:r>
                <a:rPr kumimoji="1" lang="en-US" altLang="ja-JP" sz="1800" b="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𝑔(𝑟)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/(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𝑔^′ (𝑟) 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kumimoji="1" lang="ja-JP" altLang="en-US" sz="1800"/>
            </a:p>
          </xdr:txBody>
        </xdr:sp>
      </mc:Fallback>
    </mc:AlternateContent>
    <xdr:clientData/>
  </xdr:oneCellAnchor>
  <xdr:oneCellAnchor>
    <xdr:from>
      <xdr:col>21</xdr:col>
      <xdr:colOff>590550</xdr:colOff>
      <xdr:row>10</xdr:row>
      <xdr:rowOff>0</xdr:rowOff>
    </xdr:from>
    <xdr:ext cx="2905125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88F3DBB8-8990-478B-B010-5AC21A934654}"/>
                </a:ext>
              </a:extLst>
            </xdr:cNvPr>
            <xdr:cNvSpPr txBox="1"/>
          </xdr:nvSpPr>
          <xdr:spPr>
            <a:xfrm>
              <a:off x="16478250" y="2400300"/>
              <a:ext cx="290512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+∆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p>
                      <m:sSup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′</m:t>
                        </m:r>
                      </m:sup>
                    </m:sSup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𝑟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+⋯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88F3DBB8-8990-478B-B010-5AC21A934654}"/>
                </a:ext>
              </a:extLst>
            </xdr:cNvPr>
            <xdr:cNvSpPr txBox="1"/>
          </xdr:nvSpPr>
          <xdr:spPr>
            <a:xfrm>
              <a:off x="16478250" y="2400300"/>
              <a:ext cx="290512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+∆𝑟)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=𝑔(𝑟)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+𝑔^′ (𝑟)∆𝑟+⋯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209550</xdr:colOff>
      <xdr:row>1</xdr:row>
      <xdr:rowOff>85725</xdr:rowOff>
    </xdr:from>
    <xdr:ext cx="7534275" cy="8169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791A9628-2412-4172-940A-D63DA547803F}"/>
                </a:ext>
              </a:extLst>
            </xdr:cNvPr>
            <xdr:cNvSpPr txBox="1"/>
          </xdr:nvSpPr>
          <xdr:spPr>
            <a:xfrm>
              <a:off x="18449925" y="323850"/>
              <a:ext cx="7534275" cy="816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kumimoji="1" lang="ja-JP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1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</m:e>
                    </m:rad>
                    <m:rad>
                      <m:radPr>
                        <m:degHide m:val="on"/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d>
                          <m:d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0.3</m:t>
                            </m:r>
                            <m:r>
                              <m:rPr>
                                <m:sty m:val="p"/>
                              </m:rPr>
                              <a:rPr kumimoji="1" lang="en-US" altLang="ja-JP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exp</m:t>
                            </m:r>
                            <m:d>
                              <m:d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−0.25</m:t>
                                </m:r>
                                <m:d>
                                  <m:d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𝑟</m:t>
                                        </m:r>
                                      </m:num>
                                      <m:den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den>
                                    </m:f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</m:e>
                                </m:d>
                              </m:e>
                            </m:d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𝑙𝑜𝑔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𝑒</m:t>
                                </m:r>
                              </m:sub>
                            </m:sSub>
                            <m:d>
                              <m:d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𝑟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ad>
                                  <m:radPr>
                                    <m:degHide m:val="on"/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radPr>
                                  <m:deg/>
                                  <m:e>
                                    <m:sSup>
                                      <m:sSupPr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f>
                                              <m:fPr>
                                                <m:ctrlPr>
                                                  <a:rPr kumimoji="1" lang="en-US" altLang="ja-JP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kumimoji="1" lang="en-US" altLang="ja-JP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𝑟</m:t>
                                                </m:r>
                                              </m:num>
                                              <m:den>
                                                <m:r>
                                                  <a:rPr kumimoji="1" lang="en-US" altLang="ja-JP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2</m:t>
                                                </m:r>
                                              </m:den>
                                            </m:f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−1</m:t>
                                    </m:r>
                                  </m:e>
                                </m:rad>
                              </m:e>
                            </m:d>
                          </m:e>
                        </m:d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𝑙𝑜𝑔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  <m:d>
                          <m:d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𝑟</m:t>
                                </m:r>
                              </m:num>
                              <m:den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ad>
                              <m:radPr>
                                <m:degHide m:val="on"/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sSup>
                                  <m:sSup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kumimoji="1" lang="en-US" altLang="ja-JP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𝑟</m:t>
                                            </m:r>
                                          </m:num>
                                          <m:den>
                                            <m:r>
                                              <a:rPr kumimoji="1" lang="en-US" altLang="ja-JP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−1</m:t>
                                </m:r>
                              </m:e>
                            </m:rad>
                          </m:e>
                        </m:d>
                      </m:e>
                    </m:ra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791A9628-2412-4172-940A-D63DA547803F}"/>
                </a:ext>
              </a:extLst>
            </xdr:cNvPr>
            <xdr:cNvSpPr txBox="1"/>
          </xdr:nvSpPr>
          <xdr:spPr>
            <a:xfrm>
              <a:off x="18449925" y="323850"/>
              <a:ext cx="7534275" cy="816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𝑍_𝑛𝑒𝑤 (𝑟)=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√((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_𝑟)/(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_𝑟 )) √(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(0.3exp(−0.25(𝑟/2−1))+〖𝑙𝑜𝑔〗_𝑒 (𝑟/2+√((𝑟/2)^2−1))) 〖𝑙𝑜𝑔〗_𝑒 (𝑟/2+√((𝑟/2)^2−1)) 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24</xdr:col>
      <xdr:colOff>104775</xdr:colOff>
      <xdr:row>7</xdr:row>
      <xdr:rowOff>104775</xdr:rowOff>
    </xdr:from>
    <xdr:ext cx="396240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F5C5D1F0-1AFA-4FD6-9DB6-53FC448EC4FA}"/>
                </a:ext>
              </a:extLst>
            </xdr:cNvPr>
            <xdr:cNvSpPr txBox="1"/>
          </xdr:nvSpPr>
          <xdr:spPr>
            <a:xfrm>
              <a:off x="19030950" y="1790700"/>
              <a:ext cx="3962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𝑛𝑒𝑤</m:t>
                        </m:r>
                      </m:sub>
                    </m:sSub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F5C5D1F0-1AFA-4FD6-9DB6-53FC448EC4FA}"/>
                </a:ext>
              </a:extLst>
            </xdr:cNvPr>
            <xdr:cNvSpPr txBox="1"/>
          </xdr:nvSpPr>
          <xdr:spPr>
            <a:xfrm>
              <a:off x="19030950" y="1790700"/>
              <a:ext cx="39624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𝑔(𝑟)=𝑍_𝑛𝑒𝑤 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−𝑍_0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24</xdr:col>
      <xdr:colOff>447675</xdr:colOff>
      <xdr:row>10</xdr:row>
      <xdr:rowOff>123825</xdr:rowOff>
    </xdr:from>
    <xdr:ext cx="2905125" cy="4822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B1CAF1DE-1326-4A94-AD2A-324E5DA3EF68}"/>
                </a:ext>
              </a:extLst>
            </xdr:cNvPr>
            <xdr:cNvSpPr txBox="1"/>
          </xdr:nvSpPr>
          <xdr:spPr>
            <a:xfrm>
              <a:off x="19373850" y="2524125"/>
              <a:ext cx="2905125" cy="482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+∆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𝑟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+⋯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B1CAF1DE-1326-4A94-AD2A-324E5DA3EF68}"/>
                </a:ext>
              </a:extLst>
            </xdr:cNvPr>
            <xdr:cNvSpPr txBox="1"/>
          </xdr:nvSpPr>
          <xdr:spPr>
            <a:xfrm>
              <a:off x="19373850" y="2524125"/>
              <a:ext cx="2905125" cy="482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+∆𝑟)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=𝑔(𝑟)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kumimoji="1" lang="ja-JP" alt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𝑔/</a:t>
              </a:r>
              <a:r>
                <a:rPr kumimoji="1" lang="ja-JP" alt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𝑟 ∆𝑟+⋯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24</xdr:col>
      <xdr:colOff>57150</xdr:colOff>
      <xdr:row>13</xdr:row>
      <xdr:rowOff>95250</xdr:rowOff>
    </xdr:from>
    <xdr:ext cx="3962400" cy="6009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EAC5F93F-A3B1-4E8B-ABB6-8FC988C17502}"/>
                </a:ext>
              </a:extLst>
            </xdr:cNvPr>
            <xdr:cNvSpPr txBox="1"/>
          </xdr:nvSpPr>
          <xdr:spPr>
            <a:xfrm>
              <a:off x="18983325" y="3209925"/>
              <a:ext cx="3962400" cy="600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∆</m:t>
                    </m:r>
                    <m:r>
                      <a:rPr kumimoji="1" lang="en-US" altLang="ja-JP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𝑔</m:t>
                        </m:r>
                        <m:d>
                          <m:d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</m:d>
                      </m:num>
                      <m:den>
                        <m:sSup>
                          <m:sSup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𝑔</m:t>
                            </m:r>
                          </m:e>
                          <m:sup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p>
                        </m:sSup>
                        <m:d>
                          <m:dPr>
                            <m:ctrlP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e>
                        </m:d>
                      </m:den>
                    </m:f>
                  </m:oMath>
                </m:oMathPara>
              </a14:m>
              <a:endParaRPr kumimoji="1" lang="ja-JP" altLang="en-US" sz="18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EAC5F93F-A3B1-4E8B-ABB6-8FC988C17502}"/>
                </a:ext>
              </a:extLst>
            </xdr:cNvPr>
            <xdr:cNvSpPr txBox="1"/>
          </xdr:nvSpPr>
          <xdr:spPr>
            <a:xfrm>
              <a:off x="18983325" y="3209925"/>
              <a:ext cx="3962400" cy="600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∆𝑟</a:t>
              </a:r>
              <a:r>
                <a:rPr kumimoji="1" lang="en-US" altLang="ja-JP" sz="1800" b="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𝑔(𝑟)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/(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𝑔^′ (𝑟) 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kumimoji="1" lang="ja-JP" altLang="en-US" sz="1800"/>
            </a:p>
          </xdr:txBody>
        </xdr:sp>
      </mc:Fallback>
    </mc:AlternateContent>
    <xdr:clientData/>
  </xdr:oneCellAnchor>
  <xdr:oneCellAnchor>
    <xdr:from>
      <xdr:col>25</xdr:col>
      <xdr:colOff>400050</xdr:colOff>
      <xdr:row>9</xdr:row>
      <xdr:rowOff>76200</xdr:rowOff>
    </xdr:from>
    <xdr:ext cx="2905125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8DAC1C75-9596-48D0-A7FF-52ABD334E116}"/>
                </a:ext>
              </a:extLst>
            </xdr:cNvPr>
            <xdr:cNvSpPr txBox="1"/>
          </xdr:nvSpPr>
          <xdr:spPr>
            <a:xfrm>
              <a:off x="20012025" y="2238375"/>
              <a:ext cx="290512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+∆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p>
                      <m:sSup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′</m:t>
                        </m:r>
                      </m:sup>
                    </m:sSup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𝑟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+⋯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8DAC1C75-9596-48D0-A7FF-52ABD334E116}"/>
                </a:ext>
              </a:extLst>
            </xdr:cNvPr>
            <xdr:cNvSpPr txBox="1"/>
          </xdr:nvSpPr>
          <xdr:spPr>
            <a:xfrm>
              <a:off x="20012025" y="2238375"/>
              <a:ext cx="290512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𝑔(𝑟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+∆𝑟)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=𝑔(𝑟)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+𝑔^′ (𝑟)∆𝑟+⋯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87B4-0676-4153-8A39-F684422F2B75}">
  <dimension ref="B1:U19"/>
  <sheetViews>
    <sheetView workbookViewId="0">
      <selection activeCell="M6" sqref="M6"/>
    </sheetView>
  </sheetViews>
  <sheetFormatPr defaultRowHeight="18.75"/>
  <cols>
    <col min="1" max="1" width="4.5" customWidth="1"/>
    <col min="2" max="2" width="7.5" customWidth="1"/>
    <col min="7" max="7" width="16.125" bestFit="1" customWidth="1"/>
    <col min="9" max="9" width="13.875" bestFit="1" customWidth="1"/>
    <col min="10" max="10" width="12.75" bestFit="1" customWidth="1"/>
    <col min="11" max="11" width="11" bestFit="1" customWidth="1"/>
    <col min="14" max="14" width="12.75" bestFit="1" customWidth="1"/>
    <col min="18" max="18" width="12" customWidth="1"/>
    <col min="19" max="19" width="11.625" bestFit="1" customWidth="1"/>
    <col min="20" max="20" width="14.75" bestFit="1" customWidth="1"/>
    <col min="21" max="21" width="13.75" customWidth="1"/>
  </cols>
  <sheetData>
    <row r="1" spans="2:21" ht="19.5" thickBot="1"/>
    <row r="2" spans="2:21" ht="21.75" thickBot="1">
      <c r="C2" s="49" t="s">
        <v>114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2:21">
      <c r="C3" t="s">
        <v>113</v>
      </c>
    </row>
    <row r="4" spans="2:21" ht="19.5" thickBot="1"/>
    <row r="5" spans="2:21" s="13" customFormat="1" ht="21" thickBot="1">
      <c r="C5" s="18" t="s">
        <v>15</v>
      </c>
      <c r="D5" s="18" t="s">
        <v>38</v>
      </c>
      <c r="E5" s="18" t="s">
        <v>39</v>
      </c>
      <c r="F5" s="18" t="s">
        <v>40</v>
      </c>
      <c r="G5" s="18" t="s">
        <v>41</v>
      </c>
      <c r="H5" s="18" t="s">
        <v>42</v>
      </c>
      <c r="I5" s="18" t="s">
        <v>91</v>
      </c>
      <c r="J5" s="18" t="s">
        <v>43</v>
      </c>
      <c r="K5" s="18" t="s">
        <v>64</v>
      </c>
      <c r="L5" s="18" t="s">
        <v>72</v>
      </c>
      <c r="M5" s="18" t="s">
        <v>80</v>
      </c>
      <c r="N5" s="18" t="s">
        <v>88</v>
      </c>
      <c r="Q5" s="42" t="s">
        <v>28</v>
      </c>
      <c r="R5" s="19">
        <v>1.2566370621199999E-6</v>
      </c>
      <c r="S5" s="26" t="s">
        <v>32</v>
      </c>
      <c r="T5" s="26" t="s">
        <v>33</v>
      </c>
      <c r="U5" s="39" t="s">
        <v>7</v>
      </c>
    </row>
    <row r="6" spans="2:21" ht="20.25">
      <c r="B6" s="13" t="s">
        <v>100</v>
      </c>
      <c r="C6" s="14">
        <v>100</v>
      </c>
      <c r="D6" s="20">
        <f>EXP(C6/$U$6)</f>
        <v>2.3028658824804675</v>
      </c>
      <c r="E6" s="20">
        <f>EXP(C6/$U$6)-1/4</f>
        <v>2.0528658824804675</v>
      </c>
      <c r="F6" s="20">
        <f>EXP(C6/$U$6)+1</f>
        <v>3.3028658824804675</v>
      </c>
      <c r="G6" s="20">
        <f>(EXP(C6/$U$6)-0.3083)/1.6208</f>
        <v>1.2306058011355303</v>
      </c>
      <c r="H6" s="15">
        <f>'Newton-f3f3'!D18</f>
        <v>2.7371074106596414</v>
      </c>
      <c r="I6" s="15">
        <f>'Newton-fnewfnew'!D18</f>
        <v>2.3048763345393803</v>
      </c>
      <c r="J6" s="28">
        <f>'Newton-fnewf3'!D18</f>
        <v>2.5184624493879411</v>
      </c>
      <c r="K6" s="5">
        <f>'Newton-f1f3'!D18</f>
        <v>2.5689725403850803</v>
      </c>
      <c r="L6" s="44">
        <f>'Newton-f2f3'!D18</f>
        <v>2.4942050385211254</v>
      </c>
      <c r="M6" s="5">
        <f>'Newton-f7f3'!D18</f>
        <v>3.0362747662943042</v>
      </c>
      <c r="N6" s="5">
        <f>'Newton-fpmaxf3'!D18</f>
        <v>2.2600089098598821</v>
      </c>
      <c r="O6" s="21" t="s">
        <v>18</v>
      </c>
      <c r="Q6" s="2" t="s">
        <v>29</v>
      </c>
      <c r="R6" s="3">
        <v>8.8541878128000006E-12</v>
      </c>
      <c r="S6" s="5">
        <f>SQRT(R5/R6)</f>
        <v>376.73031366686166</v>
      </c>
      <c r="T6" s="5">
        <f>S6/PI()</f>
        <v>119.9169832652825</v>
      </c>
      <c r="U6" s="25">
        <f>SQRT(R5*R9/(R6*S9))/PI()</f>
        <v>119.88188520192099</v>
      </c>
    </row>
    <row r="7" spans="2:21" s="13" customFormat="1"/>
    <row r="8" spans="2:21">
      <c r="L8" s="1"/>
      <c r="Q8" s="4" t="s">
        <v>0</v>
      </c>
      <c r="R8" s="4" t="s">
        <v>3</v>
      </c>
      <c r="S8" s="4" t="s">
        <v>4</v>
      </c>
      <c r="T8" s="27" t="s">
        <v>5</v>
      </c>
    </row>
    <row r="9" spans="2:21">
      <c r="Q9" s="5" t="s">
        <v>1</v>
      </c>
      <c r="R9" s="5">
        <v>1.00000037</v>
      </c>
      <c r="S9" s="5">
        <v>1.000586</v>
      </c>
      <c r="T9" s="5">
        <f>SQRT(R9/S9)</f>
        <v>0.99970731365644949</v>
      </c>
    </row>
    <row r="10" spans="2:21" s="13" customFormat="1">
      <c r="C10" s="22" t="s">
        <v>19</v>
      </c>
      <c r="D10" s="23" t="s">
        <v>48</v>
      </c>
      <c r="E10" s="23" t="s">
        <v>49</v>
      </c>
      <c r="F10" s="23" t="s">
        <v>50</v>
      </c>
      <c r="G10" s="23" t="s">
        <v>51</v>
      </c>
      <c r="H10" s="23" t="s">
        <v>52</v>
      </c>
      <c r="I10" s="23" t="s">
        <v>92</v>
      </c>
      <c r="J10" s="23" t="s">
        <v>53</v>
      </c>
      <c r="K10" s="23" t="s">
        <v>65</v>
      </c>
      <c r="L10" s="23" t="s">
        <v>74</v>
      </c>
      <c r="M10" s="23" t="s">
        <v>81</v>
      </c>
      <c r="N10" s="23" t="s">
        <v>89</v>
      </c>
    </row>
    <row r="11" spans="2:21">
      <c r="B11" s="13" t="s">
        <v>101</v>
      </c>
      <c r="C11" s="5">
        <v>0.6</v>
      </c>
      <c r="D11" s="5">
        <f>$C$11*D6</f>
        <v>1.3817195294882805</v>
      </c>
      <c r="E11" s="5">
        <f t="shared" ref="E11:G11" si="0">$C$11*E6</f>
        <v>1.2317195294882806</v>
      </c>
      <c r="F11" s="5">
        <f t="shared" si="0"/>
        <v>1.9817195294882803</v>
      </c>
      <c r="G11" s="5">
        <f t="shared" si="0"/>
        <v>0.73836348068131819</v>
      </c>
      <c r="H11" s="5">
        <f t="shared" ref="H11:N11" si="1">$C$11*H6</f>
        <v>1.6422644463957847</v>
      </c>
      <c r="I11" s="5">
        <f t="shared" si="1"/>
        <v>1.3829258007236283</v>
      </c>
      <c r="J11" s="5">
        <f t="shared" si="1"/>
        <v>1.5110774696327647</v>
      </c>
      <c r="K11" s="5">
        <f t="shared" si="1"/>
        <v>1.5413835242310481</v>
      </c>
      <c r="L11" s="5">
        <f t="shared" si="1"/>
        <v>1.4965230231126752</v>
      </c>
      <c r="M11" s="5">
        <f t="shared" si="1"/>
        <v>1.8217648597765823</v>
      </c>
      <c r="N11" s="5">
        <f t="shared" si="1"/>
        <v>1.3560053459159291</v>
      </c>
    </row>
    <row r="12" spans="2:21">
      <c r="C12" s="13"/>
    </row>
    <row r="13" spans="2:21">
      <c r="C13" s="5" t="s">
        <v>116</v>
      </c>
      <c r="D13" s="24" t="s">
        <v>54</v>
      </c>
      <c r="E13" s="24" t="s">
        <v>55</v>
      </c>
      <c r="F13" s="24" t="s">
        <v>56</v>
      </c>
      <c r="G13" s="24" t="s">
        <v>57</v>
      </c>
      <c r="H13" s="24" t="s">
        <v>58</v>
      </c>
      <c r="I13" s="24" t="s">
        <v>93</v>
      </c>
      <c r="J13" s="24" t="s">
        <v>59</v>
      </c>
      <c r="K13" s="24" t="s">
        <v>66</v>
      </c>
      <c r="L13" s="24" t="s">
        <v>73</v>
      </c>
      <c r="M13" s="24" t="s">
        <v>82</v>
      </c>
      <c r="N13" s="24" t="s">
        <v>90</v>
      </c>
    </row>
    <row r="14" spans="2:21">
      <c r="C14" s="5" t="s">
        <v>115</v>
      </c>
      <c r="D14" s="5">
        <f>D11-2*$C$11</f>
        <v>0.18171952948828052</v>
      </c>
      <c r="E14" s="5">
        <f t="shared" ref="E14:G14" si="2">E11-2*$C$11</f>
        <v>3.1719529488280607E-2</v>
      </c>
      <c r="F14" s="5">
        <f t="shared" si="2"/>
        <v>0.78171952948828038</v>
      </c>
      <c r="G14" s="5">
        <f t="shared" si="2"/>
        <v>-0.46163651931868177</v>
      </c>
      <c r="H14" s="5">
        <f t="shared" ref="H14:N14" si="3">H11-2*$C$11</f>
        <v>0.44226444639578477</v>
      </c>
      <c r="I14" s="5">
        <f>I11-2*$C$11</f>
        <v>0.1829258007236283</v>
      </c>
      <c r="J14" s="5">
        <f t="shared" si="3"/>
        <v>0.31107746963276472</v>
      </c>
      <c r="K14" s="5">
        <f t="shared" si="3"/>
        <v>0.34138352423104812</v>
      </c>
      <c r="L14" s="5">
        <f t="shared" si="3"/>
        <v>0.2965230231126752</v>
      </c>
      <c r="M14" s="5">
        <f t="shared" si="3"/>
        <v>0.62176485977658236</v>
      </c>
      <c r="N14" s="5">
        <f t="shared" si="3"/>
        <v>0.15600534591592918</v>
      </c>
    </row>
    <row r="15" spans="2:21">
      <c r="D15" s="5">
        <f>D14/$H$14</f>
        <v>0.41088432716940299</v>
      </c>
      <c r="E15" s="5">
        <f t="shared" ref="E15:N15" si="4">E14/$H$14</f>
        <v>7.172073122037631E-2</v>
      </c>
      <c r="F15" s="5">
        <f t="shared" si="4"/>
        <v>1.7675387109655101</v>
      </c>
      <c r="G15" s="5">
        <f t="shared" si="4"/>
        <v>-1.0438020127567769</v>
      </c>
      <c r="H15" s="5">
        <f t="shared" si="4"/>
        <v>1</v>
      </c>
      <c r="I15" s="5">
        <f t="shared" si="4"/>
        <v>0.41361181576853917</v>
      </c>
      <c r="J15" s="5">
        <f t="shared" si="4"/>
        <v>0.70337435479581789</v>
      </c>
      <c r="K15" s="5">
        <f t="shared" si="4"/>
        <v>0.77189909117302691</v>
      </c>
      <c r="L15" s="5">
        <f t="shared" si="4"/>
        <v>0.67046543200380881</v>
      </c>
      <c r="M15" s="5">
        <f t="shared" si="4"/>
        <v>1.4058667045104543</v>
      </c>
      <c r="N15" s="5">
        <f t="shared" si="4"/>
        <v>0.35274222738745581</v>
      </c>
    </row>
    <row r="16" spans="2:21" ht="19.5" thickBot="1"/>
    <row r="17" spans="5:7" ht="19.5" thickBot="1">
      <c r="E17" s="29" t="s">
        <v>22</v>
      </c>
      <c r="F17" s="30" t="s">
        <v>20</v>
      </c>
      <c r="G17" s="31"/>
    </row>
    <row r="18" spans="5:7" ht="19.5" thickBot="1">
      <c r="E18" s="29" t="s">
        <v>23</v>
      </c>
      <c r="F18" s="30" t="s">
        <v>21</v>
      </c>
      <c r="G18" s="31"/>
    </row>
    <row r="19" spans="5:7" ht="19.5" thickBot="1">
      <c r="E19" s="29" t="s">
        <v>45</v>
      </c>
      <c r="F19" s="30" t="s">
        <v>44</v>
      </c>
      <c r="G19" s="31"/>
    </row>
  </sheetData>
  <phoneticPr fontId="1"/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1CDF-3D42-44ED-9434-7556ECD0FC8B}">
  <dimension ref="B3:N18"/>
  <sheetViews>
    <sheetView workbookViewId="0">
      <selection activeCell="B1" sqref="B1"/>
    </sheetView>
  </sheetViews>
  <sheetFormatPr defaultRowHeight="18.75"/>
  <cols>
    <col min="2" max="2" width="10.5" bestFit="1" customWidth="1"/>
    <col min="8" max="8" width="13.75" bestFit="1" customWidth="1"/>
    <col min="10" max="10" width="12.75" bestFit="1" customWidth="1"/>
    <col min="11" max="11" width="10.875" bestFit="1" customWidth="1"/>
    <col min="12" max="12" width="12.75" bestFit="1" customWidth="1"/>
    <col min="13" max="13" width="13.5" bestFit="1" customWidth="1"/>
    <col min="14" max="14" width="15.625" bestFit="1" customWidth="1"/>
  </cols>
  <sheetData>
    <row r="3" spans="2:14" s="13" customFormat="1" ht="20.25">
      <c r="B3" s="17" t="s">
        <v>11</v>
      </c>
      <c r="C3" s="17" t="s">
        <v>15</v>
      </c>
      <c r="D3" s="16" t="s">
        <v>9</v>
      </c>
      <c r="E3" s="16" t="s">
        <v>35</v>
      </c>
      <c r="F3" s="16" t="s">
        <v>83</v>
      </c>
      <c r="G3" s="16" t="s">
        <v>84</v>
      </c>
      <c r="H3" s="16" t="s">
        <v>85</v>
      </c>
      <c r="I3" s="16" t="s">
        <v>12</v>
      </c>
      <c r="J3" s="16" t="s">
        <v>36</v>
      </c>
      <c r="K3" s="16" t="s">
        <v>86</v>
      </c>
      <c r="L3" s="16" t="s">
        <v>87</v>
      </c>
      <c r="M3" s="16" t="s">
        <v>13</v>
      </c>
      <c r="N3" s="16" t="s">
        <v>14</v>
      </c>
    </row>
    <row r="4" spans="2:14">
      <c r="B4" s="41">
        <v>9.9999999999999995E-8</v>
      </c>
      <c r="C4" s="40">
        <f>'Indirect Computation'!C6</f>
        <v>100</v>
      </c>
      <c r="D4" s="41">
        <v>2</v>
      </c>
      <c r="E4" s="5">
        <f>LN(D4/2+SQRT((D4/2)^2-1))</f>
        <v>0</v>
      </c>
      <c r="F4" s="5">
        <f>LN(1.6208*D4+0.3083)</f>
        <v>1.2669194340764858</v>
      </c>
      <c r="G4" s="5">
        <f>'Indirect Computation'!$U$6*SQRT(F4*E4)</f>
        <v>0</v>
      </c>
      <c r="H4" s="5">
        <f>G4-$C$4</f>
        <v>-100</v>
      </c>
      <c r="I4" s="5">
        <f>D4+$B$4</f>
        <v>2.0000000999999998</v>
      </c>
      <c r="J4" s="5">
        <f>LN(I4/2+SQRT((I4/2)^2-1))</f>
        <v>3.1622776434960263E-4</v>
      </c>
      <c r="K4" s="5">
        <f>LN(1.6208*I4+0.3083)</f>
        <v>1.2669194797341088</v>
      </c>
      <c r="L4" s="5">
        <f>'Indirect Computation'!$U$6*SQRT(K4*J4)</f>
        <v>2.3995404177128719</v>
      </c>
      <c r="M4" s="5">
        <f>(L4-G4)/$B$4</f>
        <v>23995404.177128721</v>
      </c>
      <c r="N4" s="5">
        <f>-H4/M4</f>
        <v>4.1674647054003473E-6</v>
      </c>
    </row>
    <row r="5" spans="2:14">
      <c r="D5" s="5">
        <f>IF((D4+N4)&gt;=2, D4+N4, 2)</f>
        <v>2.0000041674647053</v>
      </c>
      <c r="E5" s="5">
        <f t="shared" ref="E5:E18" si="0">LN(D5/2+SQRT((D5/2)^2-1))</f>
        <v>2.0414365672085425E-3</v>
      </c>
      <c r="F5" s="5">
        <f t="shared" ref="F5" si="1">LN(1.6208*D5+0.3083)</f>
        <v>1.2669213368400476</v>
      </c>
      <c r="G5" s="5">
        <f>'Indirect Computation'!$U$6*SQRT(F5*E5)</f>
        <v>6.0967211789535893</v>
      </c>
      <c r="H5" s="5">
        <f>G5-$C$4</f>
        <v>-93.903278821046413</v>
      </c>
      <c r="I5" s="5">
        <f t="shared" ref="I5" si="2">D5+$B$4</f>
        <v>2.0000042674647052</v>
      </c>
      <c r="J5" s="5">
        <f t="shared" ref="J5:J18" si="3">LN(I5/2+SQRT((I5/2)^2-1))</f>
        <v>2.0657839159870304E-3</v>
      </c>
      <c r="K5" s="5">
        <f t="shared" ref="K5:K18" si="4">LN(1.6208*I5+0.3083)</f>
        <v>1.2669213824975838</v>
      </c>
      <c r="L5" s="5">
        <f>'Indirect Computation'!$U$6*SQRT(K5*J5)</f>
        <v>6.1329700338210644</v>
      </c>
      <c r="M5" s="5">
        <f t="shared" ref="M5" si="5">(L5-G5)/$B$4</f>
        <v>362488.5486747509</v>
      </c>
      <c r="N5" s="5">
        <f t="shared" ref="N5" si="6">-H5/M5</f>
        <v>2.5905171119020026E-4</v>
      </c>
    </row>
    <row r="6" spans="2:14">
      <c r="D6" s="5">
        <f t="shared" ref="D6:D18" si="7">IF((D5+N5)&gt;=2, D5+N5, 2)</f>
        <v>2.0002632191758956</v>
      </c>
      <c r="E6" s="5">
        <f t="shared" si="0"/>
        <v>1.6223852884061515E-2</v>
      </c>
      <c r="F6" s="5">
        <f t="shared" ref="F6:F18" si="8">LN(1.6208*D6+0.3083)</f>
        <v>1.2670396064775369</v>
      </c>
      <c r="G6" s="5">
        <f>'Indirect Computation'!$U$6*SQRT(F6*E6)</f>
        <v>17.188012425140816</v>
      </c>
      <c r="H6" s="5">
        <f t="shared" ref="H6:H18" si="9">G6-$C$4</f>
        <v>-82.811987574859188</v>
      </c>
      <c r="I6" s="5">
        <f t="shared" ref="I6:I18" si="10">D6+$B$4</f>
        <v>2.0002633191758954</v>
      </c>
      <c r="J6" s="5">
        <f t="shared" si="3"/>
        <v>1.6226934338190075E-2</v>
      </c>
      <c r="K6" s="5">
        <f t="shared" si="4"/>
        <v>1.2670396521296734</v>
      </c>
      <c r="L6" s="5">
        <f>'Indirect Computation'!$U$6*SQRT(K6*J6)</f>
        <v>17.1896449475088</v>
      </c>
      <c r="M6" s="5">
        <f t="shared" ref="M6:M18" si="11">(L6-G6)/$B$4</f>
        <v>16325.223679842793</v>
      </c>
      <c r="N6" s="5">
        <f t="shared" ref="N6:N18" si="12">-H6/M6</f>
        <v>5.072640301836075E-3</v>
      </c>
    </row>
    <row r="7" spans="2:14">
      <c r="D7" s="5">
        <f t="shared" si="7"/>
        <v>2.0053358594777317</v>
      </c>
      <c r="E7" s="5">
        <f t="shared" si="0"/>
        <v>7.3030737007883664E-2</v>
      </c>
      <c r="F7" s="5">
        <f t="shared" si="8"/>
        <v>1.2693526979533081</v>
      </c>
      <c r="G7" s="5">
        <f>'Indirect Computation'!$U$6*SQRT(F7*E7)</f>
        <v>36.50039470020274</v>
      </c>
      <c r="H7" s="5">
        <f t="shared" si="9"/>
        <v>-63.49960529979726</v>
      </c>
      <c r="I7" s="5">
        <f t="shared" si="10"/>
        <v>2.0053359594777316</v>
      </c>
      <c r="J7" s="5">
        <f t="shared" si="3"/>
        <v>7.3031421039696898E-2</v>
      </c>
      <c r="K7" s="5">
        <f t="shared" si="4"/>
        <v>1.2693527434999692</v>
      </c>
      <c r="L7" s="5">
        <f>'Indirect Computation'!$U$6*SQRT(K7*J7)</f>
        <v>36.500566292483818</v>
      </c>
      <c r="M7" s="5">
        <f t="shared" si="11"/>
        <v>1715.9228107743729</v>
      </c>
      <c r="N7" s="5">
        <f t="shared" si="12"/>
        <v>3.700609660357667E-2</v>
      </c>
    </row>
    <row r="8" spans="2:14">
      <c r="D8" s="5">
        <f t="shared" si="7"/>
        <v>2.0423419560813083</v>
      </c>
      <c r="E8" s="5">
        <f t="shared" si="0"/>
        <v>0.20541029774207742</v>
      </c>
      <c r="F8" s="5">
        <f t="shared" si="8"/>
        <v>1.2860672697580564</v>
      </c>
      <c r="G8" s="5">
        <f>'Indirect Computation'!$U$6*SQRT(F8*E8)</f>
        <v>61.616427248466699</v>
      </c>
      <c r="H8" s="5">
        <f t="shared" si="9"/>
        <v>-38.383572751533301</v>
      </c>
      <c r="I8" s="5">
        <f t="shared" si="10"/>
        <v>2.0423420560813081</v>
      </c>
      <c r="J8" s="5">
        <f t="shared" si="3"/>
        <v>0.20541053945382409</v>
      </c>
      <c r="K8" s="5">
        <f t="shared" si="4"/>
        <v>1.2860673145497517</v>
      </c>
      <c r="L8" s="5">
        <f>'Indirect Computation'!$U$6*SQRT(K8*J8)</f>
        <v>61.616464574300437</v>
      </c>
      <c r="M8" s="5">
        <f t="shared" si="11"/>
        <v>373.25833737611447</v>
      </c>
      <c r="N8" s="5">
        <f t="shared" si="12"/>
        <v>0.10283379876081916</v>
      </c>
    </row>
    <row r="9" spans="2:14">
      <c r="D9" s="5">
        <f t="shared" si="7"/>
        <v>2.1451757548421275</v>
      </c>
      <c r="E9" s="5">
        <f t="shared" si="0"/>
        <v>0.37875142927226513</v>
      </c>
      <c r="F9" s="5">
        <f t="shared" si="8"/>
        <v>1.3310989537635389</v>
      </c>
      <c r="G9" s="5">
        <f>'Indirect Computation'!$U$6*SQRT(F9*E9)</f>
        <v>85.12083496803271</v>
      </c>
      <c r="H9" s="5">
        <f t="shared" si="9"/>
        <v>-14.87916503196729</v>
      </c>
      <c r="I9" s="5">
        <f t="shared" si="10"/>
        <v>2.1451758548421274</v>
      </c>
      <c r="J9" s="5">
        <f t="shared" si="3"/>
        <v>0.37875155818071948</v>
      </c>
      <c r="K9" s="5">
        <f t="shared" si="4"/>
        <v>1.3310989965829298</v>
      </c>
      <c r="L9" s="5">
        <f>'Indirect Computation'!$U$6*SQRT(K9*J9)</f>
        <v>85.120850822618038</v>
      </c>
      <c r="M9" s="5">
        <f t="shared" si="11"/>
        <v>158.54585328156645</v>
      </c>
      <c r="N9" s="5">
        <f t="shared" si="12"/>
        <v>9.3847708558753185E-2</v>
      </c>
    </row>
    <row r="10" spans="2:14">
      <c r="D10" s="5">
        <f t="shared" si="7"/>
        <v>2.2390234634008808</v>
      </c>
      <c r="E10" s="5">
        <f t="shared" si="0"/>
        <v>0.48415760482096926</v>
      </c>
      <c r="F10" s="5">
        <f t="shared" si="8"/>
        <v>1.3704975533221935</v>
      </c>
      <c r="G10" s="5">
        <f>'Indirect Computation'!$U$6*SQRT(F10*E10)</f>
        <v>97.653109104712101</v>
      </c>
      <c r="H10" s="5">
        <f t="shared" si="9"/>
        <v>-2.3468908952878991</v>
      </c>
      <c r="I10" s="5">
        <f t="shared" si="10"/>
        <v>2.2390235634008806</v>
      </c>
      <c r="J10" s="5">
        <f t="shared" si="3"/>
        <v>0.48415770416614323</v>
      </c>
      <c r="K10" s="5">
        <f t="shared" si="4"/>
        <v>1.3704975944873616</v>
      </c>
      <c r="L10" s="5">
        <f>'Indirect Computation'!$U$6*SQRT(K10*J10)</f>
        <v>97.653120590107292</v>
      </c>
      <c r="M10" s="5">
        <f t="shared" si="11"/>
        <v>114.85395191357384</v>
      </c>
      <c r="N10" s="5">
        <f t="shared" si="12"/>
        <v>2.0433697371196293E-2</v>
      </c>
    </row>
    <row r="11" spans="2:14">
      <c r="D11" s="5">
        <f t="shared" si="7"/>
        <v>2.2594571607720773</v>
      </c>
      <c r="E11" s="5">
        <f t="shared" si="0"/>
        <v>0.50401751718274523</v>
      </c>
      <c r="F11" s="5">
        <f t="shared" si="8"/>
        <v>1.3788739393066787</v>
      </c>
      <c r="G11" s="5">
        <f>'Indirect Computation'!$U$6*SQRT(F11*E11)</f>
        <v>99.93984255279355</v>
      </c>
      <c r="H11" s="5">
        <f t="shared" si="9"/>
        <v>-6.0157447206449888E-2</v>
      </c>
      <c r="I11" s="5">
        <f t="shared" si="10"/>
        <v>2.2594572607720771</v>
      </c>
      <c r="J11" s="5">
        <f t="shared" si="3"/>
        <v>0.50401761230672171</v>
      </c>
      <c r="K11" s="5">
        <f t="shared" si="4"/>
        <v>1.3788739801284715</v>
      </c>
      <c r="L11" s="5">
        <f>'Indirect Computation'!$U$6*SQRT(K11*J11)</f>
        <v>99.939853463058711</v>
      </c>
      <c r="M11" s="5">
        <f t="shared" si="11"/>
        <v>109.10265160646304</v>
      </c>
      <c r="N11" s="5">
        <f t="shared" si="12"/>
        <v>5.513839152456151E-4</v>
      </c>
    </row>
    <row r="12" spans="2:14">
      <c r="D12" s="5">
        <f t="shared" si="7"/>
        <v>2.2600085446873228</v>
      </c>
      <c r="E12" s="5">
        <f t="shared" si="0"/>
        <v>0.50454172021923782</v>
      </c>
      <c r="F12" s="5">
        <f t="shared" si="8"/>
        <v>1.3790989987839648</v>
      </c>
      <c r="G12" s="5">
        <f>'Indirect Computation'!$U$6*SQRT(F12*E12)</f>
        <v>99.999960211398118</v>
      </c>
      <c r="H12" s="5">
        <f t="shared" si="9"/>
        <v>-3.9788601881696195E-5</v>
      </c>
      <c r="I12" s="5">
        <f t="shared" si="10"/>
        <v>2.2600086446873227</v>
      </c>
      <c r="J12" s="5">
        <f t="shared" si="3"/>
        <v>0.50454181523614938</v>
      </c>
      <c r="K12" s="5">
        <f t="shared" si="4"/>
        <v>1.3790990395965712</v>
      </c>
      <c r="L12" s="5">
        <f>'Indirect Computation'!$U$6*SQRT(K12*J12)</f>
        <v>99.999971107237201</v>
      </c>
      <c r="M12" s="5">
        <f t="shared" si="11"/>
        <v>108.9583908253644</v>
      </c>
      <c r="N12" s="5">
        <f t="shared" si="12"/>
        <v>3.6517244408893942E-7</v>
      </c>
    </row>
    <row r="13" spans="2:14">
      <c r="D13" s="5">
        <f t="shared" si="7"/>
        <v>2.2600089098597671</v>
      </c>
      <c r="E13" s="5">
        <f t="shared" si="0"/>
        <v>0.50454206719472283</v>
      </c>
      <c r="F13" s="5">
        <f t="shared" si="8"/>
        <v>1.37909914782035</v>
      </c>
      <c r="G13" s="5">
        <f>'Indirect Computation'!$U$6*SQRT(F13*E13)</f>
        <v>99.999999999987452</v>
      </c>
      <c r="H13" s="5">
        <f t="shared" si="9"/>
        <v>-1.2548184713523369E-11</v>
      </c>
      <c r="I13" s="5">
        <f t="shared" si="10"/>
        <v>2.2600090098597669</v>
      </c>
      <c r="J13" s="5">
        <f t="shared" si="3"/>
        <v>0.50454216221156356</v>
      </c>
      <c r="K13" s="5">
        <f t="shared" si="4"/>
        <v>1.3790991886329507</v>
      </c>
      <c r="L13" s="5">
        <f>'Indirect Computation'!$U$6*SQRT(K13*J13)</f>
        <v>100.00001089581701</v>
      </c>
      <c r="M13" s="5">
        <f t="shared" si="11"/>
        <v>108.95829561263781</v>
      </c>
      <c r="N13" s="5">
        <f t="shared" si="12"/>
        <v>1.1516502385586081E-13</v>
      </c>
    </row>
    <row r="14" spans="2:14">
      <c r="D14" s="5">
        <f t="shared" si="7"/>
        <v>2.2600089098598821</v>
      </c>
      <c r="E14" s="5">
        <f t="shared" si="0"/>
        <v>0.50454206719483197</v>
      </c>
      <c r="F14" s="5">
        <f t="shared" si="8"/>
        <v>1.3790991478203971</v>
      </c>
      <c r="G14" s="5">
        <f>'Indirect Computation'!$U$6*SQRT(F14*E14)</f>
        <v>99.999999999999986</v>
      </c>
      <c r="H14" s="5">
        <f t="shared" si="9"/>
        <v>0</v>
      </c>
      <c r="I14" s="5">
        <f t="shared" si="10"/>
        <v>2.260009009859882</v>
      </c>
      <c r="J14" s="5">
        <f t="shared" si="3"/>
        <v>0.5045421622116727</v>
      </c>
      <c r="K14" s="5">
        <f t="shared" si="4"/>
        <v>1.3790991886329975</v>
      </c>
      <c r="L14" s="5">
        <f>'Indirect Computation'!$U$6*SQRT(K14*J14)</f>
        <v>100.00001089582953</v>
      </c>
      <c r="M14" s="5">
        <f t="shared" si="11"/>
        <v>108.95829547052927</v>
      </c>
      <c r="N14" s="5">
        <f t="shared" si="12"/>
        <v>0</v>
      </c>
    </row>
    <row r="15" spans="2:14">
      <c r="D15" s="5">
        <f t="shared" si="7"/>
        <v>2.2600089098598821</v>
      </c>
      <c r="E15" s="5">
        <f t="shared" si="0"/>
        <v>0.50454206719483197</v>
      </c>
      <c r="F15" s="5">
        <f t="shared" si="8"/>
        <v>1.3790991478203971</v>
      </c>
      <c r="G15" s="5">
        <f>'Indirect Computation'!$U$6*SQRT(F15*E15)</f>
        <v>99.999999999999986</v>
      </c>
      <c r="H15" s="5">
        <f t="shared" si="9"/>
        <v>0</v>
      </c>
      <c r="I15" s="5">
        <f t="shared" si="10"/>
        <v>2.260009009859882</v>
      </c>
      <c r="J15" s="5">
        <f t="shared" si="3"/>
        <v>0.5045421622116727</v>
      </c>
      <c r="K15" s="5">
        <f t="shared" si="4"/>
        <v>1.3790991886329975</v>
      </c>
      <c r="L15" s="5">
        <f>'Indirect Computation'!$U$6*SQRT(K15*J15)</f>
        <v>100.00001089582953</v>
      </c>
      <c r="M15" s="5">
        <f t="shared" si="11"/>
        <v>108.95829547052927</v>
      </c>
      <c r="N15" s="5">
        <f t="shared" si="12"/>
        <v>0</v>
      </c>
    </row>
    <row r="16" spans="2:14">
      <c r="D16" s="5">
        <f t="shared" si="7"/>
        <v>2.2600089098598821</v>
      </c>
      <c r="E16" s="5">
        <f t="shared" si="0"/>
        <v>0.50454206719483197</v>
      </c>
      <c r="F16" s="5">
        <f t="shared" si="8"/>
        <v>1.3790991478203971</v>
      </c>
      <c r="G16" s="5">
        <f>'Indirect Computation'!$U$6*SQRT(F16*E16)</f>
        <v>99.999999999999986</v>
      </c>
      <c r="H16" s="5">
        <f t="shared" si="9"/>
        <v>0</v>
      </c>
      <c r="I16" s="5">
        <f t="shared" si="10"/>
        <v>2.260009009859882</v>
      </c>
      <c r="J16" s="5">
        <f t="shared" si="3"/>
        <v>0.5045421622116727</v>
      </c>
      <c r="K16" s="5">
        <f t="shared" si="4"/>
        <v>1.3790991886329975</v>
      </c>
      <c r="L16" s="5">
        <f>'Indirect Computation'!$U$6*SQRT(K16*J16)</f>
        <v>100.00001089582953</v>
      </c>
      <c r="M16" s="5">
        <f t="shared" si="11"/>
        <v>108.95829547052927</v>
      </c>
      <c r="N16" s="5">
        <f t="shared" si="12"/>
        <v>0</v>
      </c>
    </row>
    <row r="17" spans="4:14">
      <c r="D17" s="5">
        <f t="shared" si="7"/>
        <v>2.2600089098598821</v>
      </c>
      <c r="E17" s="5">
        <f t="shared" si="0"/>
        <v>0.50454206719483197</v>
      </c>
      <c r="F17" s="5">
        <f t="shared" si="8"/>
        <v>1.3790991478203971</v>
      </c>
      <c r="G17" s="5">
        <f>'Indirect Computation'!$U$6*SQRT(F17*E17)</f>
        <v>99.999999999999986</v>
      </c>
      <c r="H17" s="5">
        <f t="shared" si="9"/>
        <v>0</v>
      </c>
      <c r="I17" s="5">
        <f t="shared" si="10"/>
        <v>2.260009009859882</v>
      </c>
      <c r="J17" s="5">
        <f t="shared" si="3"/>
        <v>0.5045421622116727</v>
      </c>
      <c r="K17" s="5">
        <f t="shared" si="4"/>
        <v>1.3790991886329975</v>
      </c>
      <c r="L17" s="5">
        <f>'Indirect Computation'!$U$6*SQRT(K17*J17)</f>
        <v>100.00001089582953</v>
      </c>
      <c r="M17" s="5">
        <f t="shared" si="11"/>
        <v>108.95829547052927</v>
      </c>
      <c r="N17" s="5">
        <f t="shared" si="12"/>
        <v>0</v>
      </c>
    </row>
    <row r="18" spans="4:14">
      <c r="D18" s="5">
        <f t="shared" si="7"/>
        <v>2.2600089098598821</v>
      </c>
      <c r="E18" s="5">
        <f t="shared" si="0"/>
        <v>0.50454206719483197</v>
      </c>
      <c r="F18" s="5">
        <f t="shared" si="8"/>
        <v>1.3790991478203971</v>
      </c>
      <c r="G18" s="5">
        <f>'Indirect Computation'!$U$6*SQRT(F18*E18)</f>
        <v>99.999999999999986</v>
      </c>
      <c r="H18" s="5">
        <f t="shared" si="9"/>
        <v>0</v>
      </c>
      <c r="I18" s="5">
        <f t="shared" si="10"/>
        <v>2.260009009859882</v>
      </c>
      <c r="J18" s="5">
        <f t="shared" si="3"/>
        <v>0.5045421622116727</v>
      </c>
      <c r="K18" s="5">
        <f t="shared" si="4"/>
        <v>1.3790991886329975</v>
      </c>
      <c r="L18" s="5">
        <f>'Indirect Computation'!$U$6*SQRT(K18*J18)</f>
        <v>100.00001089582953</v>
      </c>
      <c r="M18" s="5">
        <f t="shared" si="11"/>
        <v>108.95829547052927</v>
      </c>
      <c r="N18" s="5">
        <f t="shared" si="12"/>
        <v>0</v>
      </c>
    </row>
  </sheetData>
  <phoneticPr fontId="1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6BA8-0BAE-421B-A731-EE2DE8766CB7}">
  <dimension ref="B1:X48"/>
  <sheetViews>
    <sheetView tabSelected="1" topLeftCell="B1" workbookViewId="0">
      <selection activeCell="L8" sqref="L8"/>
    </sheetView>
  </sheetViews>
  <sheetFormatPr defaultRowHeight="18.75"/>
  <cols>
    <col min="8" max="8" width="13.625" bestFit="1" customWidth="1"/>
    <col min="13" max="13" width="9" style="33"/>
    <col min="21" max="21" width="12" customWidth="1"/>
    <col min="22" max="22" width="11.625" bestFit="1" customWidth="1"/>
    <col min="23" max="23" width="14.75" bestFit="1" customWidth="1"/>
    <col min="24" max="24" width="13.75" customWidth="1"/>
  </cols>
  <sheetData>
    <row r="1" spans="2:24" ht="19.5" thickBot="1"/>
    <row r="2" spans="2:24" ht="19.5" thickBot="1">
      <c r="B2" s="45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48"/>
      <c r="Q2" s="13"/>
      <c r="R2" s="13"/>
    </row>
    <row r="3" spans="2:24" ht="19.5" thickBot="1"/>
    <row r="4" spans="2:24" s="13" customFormat="1" ht="21" thickBot="1">
      <c r="D4" s="36" t="s">
        <v>8</v>
      </c>
      <c r="E4" s="36" t="s">
        <v>102</v>
      </c>
      <c r="F4" s="36" t="s">
        <v>103</v>
      </c>
      <c r="G4" s="36" t="s">
        <v>104</v>
      </c>
      <c r="H4" s="36" t="s">
        <v>105</v>
      </c>
      <c r="I4" s="43" t="s">
        <v>26</v>
      </c>
      <c r="J4" s="36" t="s">
        <v>106</v>
      </c>
      <c r="K4" s="43" t="s">
        <v>25</v>
      </c>
      <c r="L4" s="43" t="s">
        <v>27</v>
      </c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T4" s="16" t="s">
        <v>28</v>
      </c>
      <c r="U4" s="19">
        <v>1.2566370621199999E-6</v>
      </c>
      <c r="V4" s="34" t="s">
        <v>2</v>
      </c>
      <c r="W4" s="34" t="s">
        <v>6</v>
      </c>
      <c r="X4" s="35" t="s">
        <v>7</v>
      </c>
    </row>
    <row r="5" spans="2:24" ht="20.25">
      <c r="C5" s="33" t="s">
        <v>30</v>
      </c>
      <c r="D5" s="40">
        <v>2</v>
      </c>
      <c r="E5" s="5">
        <f>$X$5*LN(D5)</f>
        <v>83.095790727922562</v>
      </c>
      <c r="F5" s="5">
        <f>$X$5*LN(D5+1/4)</f>
        <v>97.215843087214893</v>
      </c>
      <c r="G5" s="5">
        <f>$X$5*LN(D5-1)</f>
        <v>0</v>
      </c>
      <c r="H5" s="5">
        <f>$X$5*LN(1.6208*D5+0.3083)</f>
        <v>151.88069015603998</v>
      </c>
      <c r="I5" s="5">
        <f t="shared" ref="I5:I48" si="0">LN(D5/2+SQRT((D5/2)^2-1))</f>
        <v>0</v>
      </c>
      <c r="J5" s="5">
        <f>$X$5*I5</f>
        <v>0</v>
      </c>
      <c r="K5" s="5">
        <f>0.3*EXP(-0.25*(D5/2-1))</f>
        <v>0.3</v>
      </c>
      <c r="L5" s="5">
        <f>I5+K5</f>
        <v>0.3</v>
      </c>
      <c r="M5" s="37">
        <f t="shared" ref="M5:M48" si="1">$X$5*SQRT(I5*L5)</f>
        <v>0</v>
      </c>
      <c r="N5" s="37">
        <f>$X$5*L5</f>
        <v>35.964565560576297</v>
      </c>
      <c r="O5" s="37">
        <f>$X$5*SQRT(LN(D5)*I5)</f>
        <v>0</v>
      </c>
      <c r="P5" s="37">
        <f>$X$5*SQRT(LN(D5+1/4)*I5)</f>
        <v>0</v>
      </c>
      <c r="Q5" s="37">
        <f>$X$5*SQRT(LN(D5-1)*I5)</f>
        <v>0</v>
      </c>
      <c r="R5" s="37">
        <f>$X$5*SQRT(LN(1.6208*D5+0.3083)*I5)</f>
        <v>0</v>
      </c>
      <c r="T5" s="2" t="s">
        <v>29</v>
      </c>
      <c r="U5" s="3">
        <v>8.8541878128000006E-12</v>
      </c>
      <c r="V5">
        <f>SQRT(U4/U5)</f>
        <v>376.73031366686166</v>
      </c>
      <c r="W5">
        <f>V5/PI()</f>
        <v>119.9169832652825</v>
      </c>
      <c r="X5" s="7">
        <f>SQRT(U4*U8/(U5*V8))/PI()</f>
        <v>119.88188520192099</v>
      </c>
    </row>
    <row r="6" spans="2:24">
      <c r="C6" s="33" t="s">
        <v>30</v>
      </c>
      <c r="D6" s="40">
        <v>2.0833333333333299</v>
      </c>
      <c r="E6" s="5">
        <f t="shared" ref="E6:E29" si="2">$X$5*LN(D6)</f>
        <v>87.989608388713037</v>
      </c>
      <c r="F6" s="5">
        <f t="shared" ref="F6:F29" si="3">$X$5*LN(D6+1/4)</f>
        <v>101.57566483077184</v>
      </c>
      <c r="G6" s="5">
        <f t="shared" ref="G6:G29" si="4">$X$5*LN(D6-1)</f>
        <v>9.5956706925694384</v>
      </c>
      <c r="H6" s="5">
        <f t="shared" ref="H6:H29" si="5">$X$5*LN(1.6208*D6+0.3083)</f>
        <v>156.35732500902088</v>
      </c>
      <c r="I6" s="5">
        <f t="shared" si="0"/>
        <v>0.28768207245177502</v>
      </c>
      <c r="J6" s="57">
        <f t="shared" ref="J6:J48" si="6">$X$5*I6</f>
        <v>34.487869184314413</v>
      </c>
      <c r="K6" s="5">
        <f t="shared" ref="K6:K48" si="7">0.3*EXP(-0.25*(D6/2-1))</f>
        <v>0.29689121967449911</v>
      </c>
      <c r="L6" s="5">
        <f t="shared" ref="L6:L48" si="8">I6+K6</f>
        <v>0.58457329212627407</v>
      </c>
      <c r="M6" s="37">
        <f>$X$5*SQRT(I6*L6)</f>
        <v>49.161989298627709</v>
      </c>
      <c r="N6" s="37">
        <f t="shared" ref="N6:N48" si="9">$X$5*L6</f>
        <v>70.079748298791017</v>
      </c>
      <c r="O6" s="37">
        <f t="shared" ref="O6:O48" si="10">$X$5*SQRT(LN(D6)*I6)</f>
        <v>55.086968546916694</v>
      </c>
      <c r="P6" s="37">
        <f t="shared" ref="P6:P48" si="11">$X$5*SQRT(LN(D6+1/4)*I6)</f>
        <v>59.18723038792595</v>
      </c>
      <c r="Q6" s="37">
        <f t="shared" ref="Q6:Q48" si="12">$X$5*SQRT(LN(D6-1)*I6)</f>
        <v>18.1915979391887</v>
      </c>
      <c r="R6" s="37">
        <f t="shared" ref="R6:R48" si="13">$X$5*SQRT(LN(1.6208*D6+0.3083)*I6)</f>
        <v>73.433173504353221</v>
      </c>
    </row>
    <row r="7" spans="2:24">
      <c r="C7" s="33" t="s">
        <v>30</v>
      </c>
      <c r="D7" s="40">
        <v>2.2000000000000002</v>
      </c>
      <c r="E7" s="5">
        <f t="shared" si="2"/>
        <v>94.521754761799102</v>
      </c>
      <c r="F7" s="5">
        <f t="shared" si="3"/>
        <v>107.42472169071476</v>
      </c>
      <c r="G7" s="5">
        <f t="shared" si="4"/>
        <v>21.857051941408407</v>
      </c>
      <c r="H7" s="5">
        <f t="shared" si="5"/>
        <v>162.35640309631333</v>
      </c>
      <c r="I7" s="5">
        <f t="shared" si="0"/>
        <v>0.44356825438511532</v>
      </c>
      <c r="J7" s="5">
        <f t="shared" si="6"/>
        <v>53.175798551412882</v>
      </c>
      <c r="K7" s="5">
        <f t="shared" si="7"/>
        <v>0.29259297360849978</v>
      </c>
      <c r="L7" s="5">
        <f t="shared" si="8"/>
        <v>0.73616122799361516</v>
      </c>
      <c r="M7" s="37">
        <f t="shared" si="1"/>
        <v>68.504683212461813</v>
      </c>
      <c r="N7" s="37">
        <f t="shared" si="9"/>
        <v>88.252395824435766</v>
      </c>
      <c r="O7" s="37">
        <f t="shared" si="10"/>
        <v>70.896190235720567</v>
      </c>
      <c r="P7" s="37">
        <f t="shared" si="11"/>
        <v>75.580390049714893</v>
      </c>
      <c r="Q7" s="37">
        <f t="shared" si="12"/>
        <v>34.092025327986917</v>
      </c>
      <c r="R7" s="37">
        <f t="shared" si="13"/>
        <v>92.916260065617919</v>
      </c>
      <c r="T7" s="4" t="s">
        <v>0</v>
      </c>
      <c r="U7" s="4" t="s">
        <v>3</v>
      </c>
      <c r="V7" s="4" t="s">
        <v>4</v>
      </c>
      <c r="W7" s="6" t="s">
        <v>5</v>
      </c>
    </row>
    <row r="8" spans="2:24">
      <c r="C8" s="33" t="s">
        <v>30</v>
      </c>
      <c r="D8" s="40">
        <v>2.2999999999999998</v>
      </c>
      <c r="E8" s="5">
        <f t="shared" si="2"/>
        <v>99.85071585933882</v>
      </c>
      <c r="F8" s="5">
        <f t="shared" si="3"/>
        <v>112.22063662233867</v>
      </c>
      <c r="G8" s="5">
        <f t="shared" si="4"/>
        <v>31.452722633978183</v>
      </c>
      <c r="H8" s="5">
        <f t="shared" si="5"/>
        <v>167.26985051027876</v>
      </c>
      <c r="I8" s="5">
        <f t="shared" si="0"/>
        <v>0.54109727938952412</v>
      </c>
      <c r="J8" s="5">
        <f t="shared" si="6"/>
        <v>64.867761930846697</v>
      </c>
      <c r="K8" s="5">
        <f t="shared" si="7"/>
        <v>0.28895832531624654</v>
      </c>
      <c r="L8" s="5">
        <f t="shared" si="8"/>
        <v>0.83005560470577067</v>
      </c>
      <c r="M8" s="37">
        <f t="shared" si="1"/>
        <v>80.342405784590866</v>
      </c>
      <c r="N8" s="37">
        <f t="shared" si="9"/>
        <v>99.508630714548318</v>
      </c>
      <c r="O8" s="37">
        <f t="shared" si="10"/>
        <v>80.480385591696873</v>
      </c>
      <c r="P8" s="37">
        <f t="shared" si="11"/>
        <v>85.319994961005008</v>
      </c>
      <c r="Q8" s="37">
        <f t="shared" si="12"/>
        <v>45.169322818676953</v>
      </c>
      <c r="R8" s="37">
        <f t="shared" si="13"/>
        <v>104.16535336237803</v>
      </c>
      <c r="T8" s="5" t="s">
        <v>1</v>
      </c>
      <c r="U8" s="5">
        <v>1.00000037</v>
      </c>
      <c r="V8" s="5">
        <v>1.000586</v>
      </c>
      <c r="W8">
        <f>SQRT(U8/V8)</f>
        <v>0.99970731365644949</v>
      </c>
    </row>
    <row r="9" spans="2:24">
      <c r="C9" s="33"/>
      <c r="D9" s="40">
        <v>2.3687499999999999</v>
      </c>
      <c r="E9" s="5">
        <f t="shared" si="2"/>
        <v>103.38162902228403</v>
      </c>
      <c r="F9" s="5">
        <f t="shared" si="3"/>
        <v>115.4099437884658</v>
      </c>
      <c r="G9" s="5">
        <f t="shared" si="4"/>
        <v>37.630673761122509</v>
      </c>
      <c r="H9" s="5">
        <f t="shared" si="5"/>
        <v>170.53469349716781</v>
      </c>
      <c r="I9" s="5">
        <f t="shared" si="0"/>
        <v>0.59828484215147493</v>
      </c>
      <c r="J9" s="57">
        <f t="shared" si="6"/>
        <v>71.723514764852538</v>
      </c>
      <c r="K9" s="5">
        <f t="shared" si="7"/>
        <v>0.28648572936107697</v>
      </c>
      <c r="L9" s="5">
        <f t="shared" si="8"/>
        <v>0.8847705715125519</v>
      </c>
      <c r="M9" s="37">
        <f t="shared" si="1"/>
        <v>87.221368872909864</v>
      </c>
      <c r="N9" s="37">
        <f t="shared" si="9"/>
        <v>106.06796408410578</v>
      </c>
      <c r="O9" s="37">
        <f t="shared" si="10"/>
        <v>86.109777584164604</v>
      </c>
      <c r="P9" s="37">
        <f t="shared" si="11"/>
        <v>90.981354173934065</v>
      </c>
      <c r="Q9" s="37">
        <f t="shared" si="12"/>
        <v>51.951941110195484</v>
      </c>
      <c r="R9" s="37">
        <f t="shared" si="13"/>
        <v>110.59542308325294</v>
      </c>
    </row>
    <row r="10" spans="2:24">
      <c r="C10" s="33" t="s">
        <v>30</v>
      </c>
      <c r="D10" s="40">
        <v>2.4</v>
      </c>
      <c r="E10" s="5">
        <f t="shared" si="2"/>
        <v>104.95284266933095</v>
      </c>
      <c r="F10" s="5">
        <f t="shared" si="3"/>
        <v>116.83204688468136</v>
      </c>
      <c r="G10" s="5">
        <f t="shared" si="4"/>
        <v>40.336926044257844</v>
      </c>
      <c r="H10" s="5">
        <f t="shared" si="5"/>
        <v>171.989820461801</v>
      </c>
      <c r="I10" s="5">
        <f t="shared" si="0"/>
        <v>0.62236250371477853</v>
      </c>
      <c r="J10" s="5">
        <f t="shared" si="6"/>
        <v>74.609990224315212</v>
      </c>
      <c r="K10" s="5">
        <f t="shared" si="7"/>
        <v>0.28536882735021418</v>
      </c>
      <c r="L10" s="5">
        <f t="shared" si="8"/>
        <v>0.90773133106499271</v>
      </c>
      <c r="M10" s="37">
        <f t="shared" si="1"/>
        <v>90.106046779425299</v>
      </c>
      <c r="N10" s="37">
        <f t="shared" si="9"/>
        <v>108.8205432249204</v>
      </c>
      <c r="O10" s="37">
        <f t="shared" si="10"/>
        <v>88.490285147991671</v>
      </c>
      <c r="P10" s="37">
        <f t="shared" si="11"/>
        <v>93.364007390175857</v>
      </c>
      <c r="Q10" s="37">
        <f t="shared" si="12"/>
        <v>54.859253165177186</v>
      </c>
      <c r="R10" s="37">
        <f t="shared" si="13"/>
        <v>113.27911909675454</v>
      </c>
    </row>
    <row r="11" spans="2:24">
      <c r="C11" s="33" t="s">
        <v>30</v>
      </c>
      <c r="D11" s="40">
        <v>2.5184630000000001</v>
      </c>
      <c r="E11" s="5">
        <f t="shared" si="2"/>
        <v>110.72875878644362</v>
      </c>
      <c r="F11" s="5">
        <f t="shared" si="3"/>
        <v>122.07479971792203</v>
      </c>
      <c r="G11" s="5">
        <f t="shared" si="4"/>
        <v>50.074500296310063</v>
      </c>
      <c r="H11" s="5">
        <f t="shared" si="5"/>
        <v>177.35091607682455</v>
      </c>
      <c r="I11" s="5">
        <f t="shared" si="0"/>
        <v>0.70533182293562835</v>
      </c>
      <c r="J11" s="5">
        <f t="shared" si="6"/>
        <v>84.55650862643067</v>
      </c>
      <c r="K11" s="5">
        <f t="shared" si="7"/>
        <v>0.28117425442783106</v>
      </c>
      <c r="L11" s="5">
        <f t="shared" si="8"/>
        <v>0.98650607736345941</v>
      </c>
      <c r="M11" s="38">
        <f t="shared" si="1"/>
        <v>100.00004275396735</v>
      </c>
      <c r="N11" s="37">
        <f t="shared" si="9"/>
        <v>118.26420831748364</v>
      </c>
      <c r="O11" s="37">
        <f t="shared" si="10"/>
        <v>96.761755087017107</v>
      </c>
      <c r="P11" s="37">
        <f t="shared" si="11"/>
        <v>101.59832112499826</v>
      </c>
      <c r="Q11" s="37">
        <f t="shared" si="12"/>
        <v>65.070153805482477</v>
      </c>
      <c r="R11" s="37">
        <f t="shared" si="13"/>
        <v>122.45886764606065</v>
      </c>
    </row>
    <row r="12" spans="2:24">
      <c r="C12" s="33"/>
      <c r="D12" s="40">
        <v>2.5416666666666599</v>
      </c>
      <c r="E12" s="5">
        <f t="shared" si="2"/>
        <v>111.82822420910422</v>
      </c>
      <c r="F12" s="5">
        <f t="shared" si="3"/>
        <v>123.07539345189427</v>
      </c>
      <c r="G12" s="5">
        <f t="shared" si="4"/>
        <v>51.892562221876851</v>
      </c>
      <c r="H12" s="5">
        <f t="shared" si="5"/>
        <v>178.37350075124004</v>
      </c>
      <c r="I12" s="5">
        <f t="shared" si="0"/>
        <v>0.72030687392103376</v>
      </c>
      <c r="J12" s="5">
        <f t="shared" si="6"/>
        <v>86.35174596955595</v>
      </c>
      <c r="K12" s="5">
        <f t="shared" si="7"/>
        <v>0.28035990178731435</v>
      </c>
      <c r="L12" s="5">
        <f t="shared" si="8"/>
        <v>1.0006667757083481</v>
      </c>
      <c r="M12" s="37">
        <f t="shared" si="1"/>
        <v>101.77874319411303</v>
      </c>
      <c r="N12" s="37">
        <f t="shared" si="9"/>
        <v>119.96181953084461</v>
      </c>
      <c r="O12" s="37">
        <f t="shared" si="10"/>
        <v>98.267809628235398</v>
      </c>
      <c r="P12" s="37">
        <f t="shared" si="11"/>
        <v>103.09110102458467</v>
      </c>
      <c r="Q12" s="37">
        <f t="shared" si="12"/>
        <v>66.940371605578093</v>
      </c>
      <c r="R12" s="37">
        <f t="shared" si="13"/>
        <v>124.10827218429672</v>
      </c>
    </row>
    <row r="13" spans="2:24">
      <c r="C13" s="33"/>
      <c r="D13" s="40">
        <v>2.5666666666666602</v>
      </c>
      <c r="E13" s="5">
        <f t="shared" si="2"/>
        <v>113.00162886464825</v>
      </c>
      <c r="F13" s="5">
        <f t="shared" si="3"/>
        <v>124.1441840544703</v>
      </c>
      <c r="G13" s="5">
        <f t="shared" si="4"/>
        <v>53.820998741159407</v>
      </c>
      <c r="H13" s="5">
        <f t="shared" si="5"/>
        <v>179.46557486402097</v>
      </c>
      <c r="I13" s="5">
        <f t="shared" si="0"/>
        <v>0.73604473200535714</v>
      </c>
      <c r="J13" s="57">
        <f t="shared" si="6"/>
        <v>88.238430065744922</v>
      </c>
      <c r="K13" s="5">
        <f t="shared" si="7"/>
        <v>0.27948514461419105</v>
      </c>
      <c r="L13" s="5">
        <f t="shared" si="8"/>
        <v>1.0155298766195482</v>
      </c>
      <c r="M13" s="37">
        <f t="shared" si="1"/>
        <v>103.64587458699334</v>
      </c>
      <c r="N13" s="37">
        <f t="shared" si="9"/>
        <v>121.74363608802567</v>
      </c>
      <c r="O13" s="37">
        <f t="shared" si="10"/>
        <v>99.855326978026213</v>
      </c>
      <c r="P13" s="37">
        <f t="shared" si="11"/>
        <v>104.6627340688143</v>
      </c>
      <c r="Q13" s="37">
        <f t="shared" si="12"/>
        <v>68.913572200912213</v>
      </c>
      <c r="R13" s="37">
        <f t="shared" si="13"/>
        <v>125.84021843928764</v>
      </c>
    </row>
    <row r="14" spans="2:24">
      <c r="C14" s="33" t="s">
        <v>30</v>
      </c>
      <c r="D14" s="40">
        <v>2.6</v>
      </c>
      <c r="E14" s="5">
        <f t="shared" si="2"/>
        <v>114.54851336190076</v>
      </c>
      <c r="F14" s="5">
        <f t="shared" si="3"/>
        <v>125.55457544213334</v>
      </c>
      <c r="G14" s="5">
        <f t="shared" si="4"/>
        <v>56.344921125723516</v>
      </c>
      <c r="H14" s="5">
        <f t="shared" si="5"/>
        <v>180.90636870625698</v>
      </c>
      <c r="I14" s="5">
        <f t="shared" si="0"/>
        <v>0.75643291085695963</v>
      </c>
      <c r="J14" s="5">
        <f t="shared" si="6"/>
        <v>90.682603382308969</v>
      </c>
      <c r="K14" s="5">
        <f t="shared" si="7"/>
        <v>0.27832304589856582</v>
      </c>
      <c r="L14" s="5">
        <f t="shared" si="8"/>
        <v>1.0347559567555256</v>
      </c>
      <c r="M14" s="37">
        <f t="shared" si="1"/>
        <v>106.06149374732375</v>
      </c>
      <c r="N14" s="37">
        <f t="shared" si="9"/>
        <v>124.04849481976984</v>
      </c>
      <c r="O14" s="37">
        <f t="shared" si="10"/>
        <v>101.91936717440099</v>
      </c>
      <c r="P14" s="37">
        <f t="shared" si="11"/>
        <v>106.7034009188703</v>
      </c>
      <c r="Q14" s="37">
        <f t="shared" si="12"/>
        <v>71.480795568120726</v>
      </c>
      <c r="R14" s="37">
        <f t="shared" si="13"/>
        <v>128.08224109033719</v>
      </c>
    </row>
    <row r="15" spans="2:24">
      <c r="C15" s="33" t="s">
        <v>30</v>
      </c>
      <c r="D15" s="40">
        <v>2.7</v>
      </c>
      <c r="E15" s="5">
        <f t="shared" si="2"/>
        <v>119.07289502862329</v>
      </c>
      <c r="F15" s="5">
        <f t="shared" si="3"/>
        <v>129.6888432429505</v>
      </c>
      <c r="G15" s="5">
        <f t="shared" si="4"/>
        <v>63.612715078731235</v>
      </c>
      <c r="H15" s="5">
        <f t="shared" si="5"/>
        <v>185.12767885551671</v>
      </c>
      <c r="I15" s="5">
        <f t="shared" si="0"/>
        <v>0.8140001025611594</v>
      </c>
      <c r="J15" s="5">
        <f t="shared" si="6"/>
        <v>97.58386684958883</v>
      </c>
      <c r="K15" s="5">
        <f t="shared" si="7"/>
        <v>0.27486566149526326</v>
      </c>
      <c r="L15" s="5">
        <f>I15+K15</f>
        <v>1.0888657640564228</v>
      </c>
      <c r="M15" s="37">
        <f t="shared" si="1"/>
        <v>112.86335735796675</v>
      </c>
      <c r="N15" s="37">
        <f t="shared" si="9"/>
        <v>130.53528052691408</v>
      </c>
      <c r="O15" s="37">
        <f t="shared" si="10"/>
        <v>107.79421846216171</v>
      </c>
      <c r="P15" s="37">
        <f t="shared" si="11"/>
        <v>112.49683911513816</v>
      </c>
      <c r="Q15" s="37">
        <f t="shared" si="12"/>
        <v>78.788163566513845</v>
      </c>
      <c r="R15" s="37">
        <f t="shared" si="13"/>
        <v>134.4078671938893</v>
      </c>
    </row>
    <row r="16" spans="2:24">
      <c r="C16" s="33" t="s">
        <v>30</v>
      </c>
      <c r="D16" s="40">
        <v>2.7371080000000001</v>
      </c>
      <c r="E16" s="5">
        <f t="shared" si="2"/>
        <v>120.70929661179088</v>
      </c>
      <c r="F16" s="5">
        <f t="shared" si="3"/>
        <v>131.18742973488111</v>
      </c>
      <c r="G16" s="5">
        <f t="shared" si="4"/>
        <v>66.201373828987627</v>
      </c>
      <c r="H16" s="5">
        <f t="shared" si="5"/>
        <v>186.65706732746349</v>
      </c>
      <c r="I16" s="5">
        <f t="shared" si="0"/>
        <v>0.83415469852496904</v>
      </c>
      <c r="J16" s="14">
        <f t="shared" si="6"/>
        <v>100.00003780921335</v>
      </c>
      <c r="K16" s="5">
        <f t="shared" si="7"/>
        <v>0.27359364951887671</v>
      </c>
      <c r="L16" s="5">
        <f t="shared" si="8"/>
        <v>1.1077483480438457</v>
      </c>
      <c r="M16" s="37">
        <f t="shared" si="1"/>
        <v>115.23845300204796</v>
      </c>
      <c r="N16" s="37">
        <f t="shared" si="9"/>
        <v>132.79896029280994</v>
      </c>
      <c r="O16" s="37">
        <f t="shared" si="10"/>
        <v>109.8678034052863</v>
      </c>
      <c r="P16" s="37">
        <f t="shared" si="11"/>
        <v>114.53710286881552</v>
      </c>
      <c r="Q16" s="37">
        <f t="shared" si="12"/>
        <v>81.364242059522866</v>
      </c>
      <c r="R16" s="37">
        <f t="shared" si="13"/>
        <v>136.62252299713703</v>
      </c>
    </row>
    <row r="17" spans="3:23">
      <c r="C17" s="33"/>
      <c r="D17" s="40">
        <v>2.8333333333333299</v>
      </c>
      <c r="E17" s="5">
        <f t="shared" si="2"/>
        <v>124.85145386524526</v>
      </c>
      <c r="F17" s="5">
        <f t="shared" si="3"/>
        <v>134.98835294979983</v>
      </c>
      <c r="G17" s="5">
        <f t="shared" si="4"/>
        <v>72.664702820390488</v>
      </c>
      <c r="H17" s="5">
        <f t="shared" si="5"/>
        <v>190.53437550853133</v>
      </c>
      <c r="I17" s="5">
        <f t="shared" si="0"/>
        <v>0.88382244839913571</v>
      </c>
      <c r="J17" s="57">
        <f>$X$5*I17</f>
        <v>105.95430129786592</v>
      </c>
      <c r="K17" s="5">
        <f t="shared" si="7"/>
        <v>0.27032253171638726</v>
      </c>
      <c r="L17" s="5">
        <f t="shared" si="8"/>
        <v>1.154144980115523</v>
      </c>
      <c r="M17" s="37">
        <f t="shared" si="1"/>
        <v>121.07828515359017</v>
      </c>
      <c r="N17" s="37">
        <f t="shared" si="9"/>
        <v>138.36107601258252</v>
      </c>
      <c r="O17" s="37">
        <f t="shared" si="10"/>
        <v>115.01542748829308</v>
      </c>
      <c r="P17" s="37">
        <f t="shared" si="11"/>
        <v>119.59346395244917</v>
      </c>
      <c r="Q17" s="37">
        <f t="shared" si="12"/>
        <v>87.744730989111488</v>
      </c>
      <c r="R17" s="37">
        <f t="shared" si="13"/>
        <v>142.08425891080142</v>
      </c>
    </row>
    <row r="18" spans="3:23">
      <c r="C18" s="33" t="s">
        <v>30</v>
      </c>
      <c r="D18" s="40">
        <v>2.9</v>
      </c>
      <c r="E18" s="5">
        <f t="shared" si="2"/>
        <v>127.63953034537897</v>
      </c>
      <c r="F18" s="5">
        <f t="shared" si="3"/>
        <v>137.55276913147276</v>
      </c>
      <c r="G18" s="5">
        <f t="shared" si="4"/>
        <v>76.946653898525881</v>
      </c>
      <c r="H18" s="5">
        <f t="shared" si="5"/>
        <v>193.1489494775964</v>
      </c>
      <c r="I18" s="5">
        <f t="shared" si="0"/>
        <v>0.91629073187415511</v>
      </c>
      <c r="J18" s="5">
        <f t="shared" si="6"/>
        <v>109.84666033012164</v>
      </c>
      <c r="K18" s="5">
        <f t="shared" si="7"/>
        <v>0.2680792041325547</v>
      </c>
      <c r="L18" s="5">
        <f t="shared" si="8"/>
        <v>1.1843699360067097</v>
      </c>
      <c r="M18" s="37">
        <f t="shared" si="1"/>
        <v>124.88604093764833</v>
      </c>
      <c r="N18" s="37">
        <f t="shared" si="9"/>
        <v>141.9845007049629</v>
      </c>
      <c r="O18" s="37">
        <f t="shared" si="10"/>
        <v>118.40935830644932</v>
      </c>
      <c r="P18" s="37">
        <f t="shared" si="11"/>
        <v>122.92156974368871</v>
      </c>
      <c r="Q18" s="37">
        <f t="shared" si="12"/>
        <v>91.936570277179698</v>
      </c>
      <c r="R18" s="37">
        <f t="shared" si="13"/>
        <v>145.65976467915002</v>
      </c>
    </row>
    <row r="19" spans="3:23">
      <c r="C19" s="33" t="s">
        <v>30</v>
      </c>
      <c r="D19" s="40">
        <v>3</v>
      </c>
      <c r="E19" s="5">
        <f t="shared" si="2"/>
        <v>131.70371227153004</v>
      </c>
      <c r="F19" s="5">
        <f t="shared" si="3"/>
        <v>141.29938296409983</v>
      </c>
      <c r="G19" s="5">
        <f t="shared" si="4"/>
        <v>83.095790727922562</v>
      </c>
      <c r="H19" s="5">
        <f t="shared" si="5"/>
        <v>196.96690553768784</v>
      </c>
      <c r="I19" s="5">
        <f t="shared" si="0"/>
        <v>0.96242365011920694</v>
      </c>
      <c r="J19" s="57">
        <f t="shared" si="6"/>
        <v>115.37716153920454</v>
      </c>
      <c r="K19" s="5">
        <f t="shared" si="7"/>
        <v>0.26474907077537863</v>
      </c>
      <c r="L19" s="5">
        <f t="shared" si="8"/>
        <v>1.2271727208945855</v>
      </c>
      <c r="M19" s="37">
        <f t="shared" si="1"/>
        <v>130.28354089217291</v>
      </c>
      <c r="N19" s="37">
        <f t="shared" si="9"/>
        <v>147.11577924921374</v>
      </c>
      <c r="O19" s="37">
        <f t="shared" si="10"/>
        <v>123.2704363830405</v>
      </c>
      <c r="P19" s="37">
        <f t="shared" si="11"/>
        <v>127.68211203468901</v>
      </c>
      <c r="Q19" s="37">
        <f t="shared" si="12"/>
        <v>97.91504720952473</v>
      </c>
      <c r="R19" s="37">
        <f t="shared" si="13"/>
        <v>150.74973458715957</v>
      </c>
    </row>
    <row r="20" spans="3:23">
      <c r="C20" s="33" t="s">
        <v>30</v>
      </c>
      <c r="D20" s="40">
        <v>3.1</v>
      </c>
      <c r="E20" s="5">
        <f t="shared" si="2"/>
        <v>135.63461804698713</v>
      </c>
      <c r="F20" s="5">
        <f t="shared" si="3"/>
        <v>144.93244539330294</v>
      </c>
      <c r="G20" s="5">
        <f t="shared" si="4"/>
        <v>88.944847587865297</v>
      </c>
      <c r="H20" s="5">
        <f t="shared" si="5"/>
        <v>200.66701224931788</v>
      </c>
      <c r="I20" s="5">
        <f t="shared" si="0"/>
        <v>1.0058651950356197</v>
      </c>
      <c r="J20" s="5">
        <f t="shared" si="6"/>
        <v>120.58501583986802</v>
      </c>
      <c r="K20" s="5">
        <f t="shared" si="7"/>
        <v>0.26146030499914735</v>
      </c>
      <c r="L20" s="5">
        <f t="shared" si="8"/>
        <v>1.267325500034767</v>
      </c>
      <c r="M20" s="37">
        <f t="shared" si="1"/>
        <v>135.352892474047</v>
      </c>
      <c r="N20" s="37">
        <f t="shared" si="9"/>
        <v>151.92937010863506</v>
      </c>
      <c r="O20" s="37">
        <f t="shared" si="10"/>
        <v>127.88863344969481</v>
      </c>
      <c r="P20" s="37">
        <f t="shared" si="11"/>
        <v>132.19939948223006</v>
      </c>
      <c r="Q20" s="37">
        <f t="shared" si="12"/>
        <v>103.56358363468011</v>
      </c>
      <c r="R20" s="37">
        <f t="shared" si="13"/>
        <v>155.5552469401884</v>
      </c>
    </row>
    <row r="21" spans="3:23">
      <c r="C21" s="33"/>
      <c r="D21" s="40">
        <v>3.1764705879999999</v>
      </c>
      <c r="E21" s="55">
        <f t="shared" si="2"/>
        <v>138.55597066893449</v>
      </c>
      <c r="F21" s="55">
        <f t="shared" si="3"/>
        <v>147.6382277928449</v>
      </c>
      <c r="G21" s="55">
        <f t="shared" si="4"/>
        <v>93.232689799516905</v>
      </c>
      <c r="H21" s="55">
        <f t="shared" si="5"/>
        <v>203.4213998842697</v>
      </c>
      <c r="I21" s="5">
        <f t="shared" si="0"/>
        <v>1.0374912302896975</v>
      </c>
      <c r="J21" s="55">
        <f t="shared" si="6"/>
        <v>124.37640456758929</v>
      </c>
      <c r="K21" s="5">
        <f t="shared" si="7"/>
        <v>0.25897295908097889</v>
      </c>
      <c r="L21" s="5">
        <f t="shared" si="8"/>
        <v>1.2964641893706763</v>
      </c>
      <c r="M21" s="56">
        <f t="shared" si="1"/>
        <v>139.03560905168888</v>
      </c>
      <c r="N21" s="56">
        <f t="shared" si="9"/>
        <v>155.42257111853698</v>
      </c>
      <c r="O21" s="56">
        <f t="shared" si="10"/>
        <v>131.27487750203551</v>
      </c>
      <c r="P21" s="56">
        <f t="shared" si="11"/>
        <v>135.50908438036464</v>
      </c>
      <c r="Q21" s="56">
        <f t="shared" si="12"/>
        <v>107.68447773671593</v>
      </c>
      <c r="R21" s="56">
        <f t="shared" si="13"/>
        <v>159.06232215616396</v>
      </c>
    </row>
    <row r="22" spans="3:23">
      <c r="C22" s="33" t="s">
        <v>30</v>
      </c>
      <c r="D22" s="40">
        <v>3.2</v>
      </c>
      <c r="E22" s="5">
        <f t="shared" si="2"/>
        <v>139.44071185364606</v>
      </c>
      <c r="F22" s="5">
        <f t="shared" si="3"/>
        <v>148.45863740294629</v>
      </c>
      <c r="G22" s="5">
        <f t="shared" si="4"/>
        <v>94.521754761799102</v>
      </c>
      <c r="H22" s="5">
        <f t="shared" si="5"/>
        <v>204.25632763745071</v>
      </c>
      <c r="I22" s="5">
        <f t="shared" si="0"/>
        <v>1.0469679150031885</v>
      </c>
      <c r="J22" s="5">
        <f t="shared" si="6"/>
        <v>125.51248739650683</v>
      </c>
      <c r="K22" s="5">
        <f t="shared" si="7"/>
        <v>0.25821239292751735</v>
      </c>
      <c r="L22" s="5">
        <f t="shared" si="8"/>
        <v>1.3051803079307058</v>
      </c>
      <c r="M22" s="37">
        <f t="shared" si="1"/>
        <v>140.13786815035917</v>
      </c>
      <c r="N22" s="37">
        <f t="shared" si="9"/>
        <v>156.46747584315676</v>
      </c>
      <c r="O22" s="37">
        <f t="shared" si="10"/>
        <v>132.29342609929901</v>
      </c>
      <c r="P22" s="37">
        <f t="shared" si="11"/>
        <v>136.50425947910881</v>
      </c>
      <c r="Q22" s="37">
        <f t="shared" si="12"/>
        <v>108.92043221194092</v>
      </c>
      <c r="R22" s="37">
        <f t="shared" si="13"/>
        <v>160.1147080947041</v>
      </c>
    </row>
    <row r="23" spans="3:23">
      <c r="C23" s="33" t="s">
        <v>30</v>
      </c>
      <c r="D23" s="40">
        <v>3.3</v>
      </c>
      <c r="E23" s="5">
        <f t="shared" si="2"/>
        <v>143.12967630540655</v>
      </c>
      <c r="F23" s="5">
        <f t="shared" si="3"/>
        <v>151.88406715811635</v>
      </c>
      <c r="G23" s="5">
        <f t="shared" si="4"/>
        <v>99.85071585933882</v>
      </c>
      <c r="H23" s="5">
        <f t="shared" si="5"/>
        <v>207.74129405853003</v>
      </c>
      <c r="I23" s="5">
        <f t="shared" si="0"/>
        <v>1.0860134133785979</v>
      </c>
      <c r="J23" s="5">
        <f t="shared" si="6"/>
        <v>130.19333535039945</v>
      </c>
      <c r="K23" s="5">
        <f t="shared" si="7"/>
        <v>0.25500482706761946</v>
      </c>
      <c r="L23" s="5">
        <f t="shared" si="8"/>
        <v>1.3410182404462174</v>
      </c>
      <c r="M23" s="37">
        <f t="shared" si="1"/>
        <v>144.67333770505778</v>
      </c>
      <c r="N23" s="37">
        <f t="shared" si="9"/>
        <v>160.76379475485552</v>
      </c>
      <c r="O23" s="37">
        <f t="shared" si="10"/>
        <v>136.50835119443761</v>
      </c>
      <c r="P23" s="37">
        <f t="shared" si="11"/>
        <v>140.62109830995928</v>
      </c>
      <c r="Q23" s="37">
        <f t="shared" si="12"/>
        <v>114.01709404669262</v>
      </c>
      <c r="R23" s="37">
        <f t="shared" si="13"/>
        <v>164.45829855464314</v>
      </c>
    </row>
    <row r="24" spans="3:23">
      <c r="C24" s="33" t="s">
        <v>30</v>
      </c>
      <c r="D24" s="40">
        <v>3.4</v>
      </c>
      <c r="E24" s="5">
        <f t="shared" si="2"/>
        <v>146.70850580665379</v>
      </c>
      <c r="F24" s="5">
        <f t="shared" si="3"/>
        <v>155.21433367336019</v>
      </c>
      <c r="G24" s="5">
        <f t="shared" si="4"/>
        <v>104.95284266933095</v>
      </c>
      <c r="H24" s="5">
        <f t="shared" si="5"/>
        <v>211.12780778788394</v>
      </c>
      <c r="I24" s="5">
        <f t="shared" si="0"/>
        <v>1.1232309825872959</v>
      </c>
      <c r="J24" s="5">
        <f t="shared" si="6"/>
        <v>134.65504770977114</v>
      </c>
      <c r="K24" s="5">
        <f t="shared" si="7"/>
        <v>0.25183710623076222</v>
      </c>
      <c r="L24" s="5">
        <f t="shared" si="8"/>
        <v>1.3750680888180582</v>
      </c>
      <c r="M24" s="37">
        <f t="shared" si="1"/>
        <v>148.98762691279811</v>
      </c>
      <c r="N24" s="37">
        <f t="shared" si="9"/>
        <v>164.84575476851134</v>
      </c>
      <c r="O24" s="37">
        <f t="shared" si="10"/>
        <v>140.5526266165958</v>
      </c>
      <c r="P24" s="37">
        <f t="shared" si="11"/>
        <v>144.56968391065485</v>
      </c>
      <c r="Q24" s="37">
        <f t="shared" si="12"/>
        <v>118.87989753072158</v>
      </c>
      <c r="R24" s="37">
        <f t="shared" si="13"/>
        <v>168.61027557814174</v>
      </c>
    </row>
    <row r="25" spans="3:23">
      <c r="C25" s="33"/>
      <c r="D25" s="40">
        <v>3.5</v>
      </c>
      <c r="E25" s="5">
        <f t="shared" si="2"/>
        <v>150.18358637437947</v>
      </c>
      <c r="F25" s="5">
        <f t="shared" si="3"/>
        <v>158.45458187372907</v>
      </c>
      <c r="G25" s="5">
        <f t="shared" si="4"/>
        <v>109.84666033012164</v>
      </c>
      <c r="H25" s="5">
        <f t="shared" si="5"/>
        <v>214.42127904510096</v>
      </c>
      <c r="I25" s="5">
        <f t="shared" si="0"/>
        <v>1.1588103604299469</v>
      </c>
      <c r="J25" s="57">
        <f t="shared" si="6"/>
        <v>138.92037059985958</v>
      </c>
      <c r="K25" s="5">
        <f t="shared" si="7"/>
        <v>0.24870873545412009</v>
      </c>
      <c r="L25" s="5">
        <f t="shared" si="8"/>
        <v>1.4075190958840671</v>
      </c>
      <c r="M25" s="37">
        <f t="shared" si="1"/>
        <v>153.10412659882033</v>
      </c>
      <c r="N25" s="37">
        <f t="shared" si="9"/>
        <v>168.73604267228535</v>
      </c>
      <c r="O25" s="37">
        <f t="shared" si="10"/>
        <v>144.44223578006822</v>
      </c>
      <c r="P25" s="37">
        <f t="shared" si="11"/>
        <v>148.36633458148191</v>
      </c>
      <c r="Q25" s="37">
        <f t="shared" si="12"/>
        <v>123.5311246699284</v>
      </c>
      <c r="R25" s="37">
        <f t="shared" si="13"/>
        <v>172.59050828316524</v>
      </c>
    </row>
    <row r="26" spans="3:23">
      <c r="C26" s="33"/>
      <c r="D26" s="40">
        <v>3.9375</v>
      </c>
      <c r="E26" s="5">
        <f t="shared" si="2"/>
        <v>164.30363873367179</v>
      </c>
      <c r="F26" s="5">
        <f t="shared" si="3"/>
        <v>171.683314995502</v>
      </c>
      <c r="G26" s="5">
        <f t="shared" si="4"/>
        <v>129.1797898869664</v>
      </c>
      <c r="H26" s="5">
        <f t="shared" si="5"/>
        <v>227.85275813213715</v>
      </c>
      <c r="I26" s="5">
        <f t="shared" si="0"/>
        <v>1.2987247676023719</v>
      </c>
      <c r="J26" s="57">
        <f t="shared" si="6"/>
        <v>155.69357349859908</v>
      </c>
      <c r="K26" s="5">
        <f t="shared" si="7"/>
        <v>0.2354726979952475</v>
      </c>
      <c r="L26" s="5">
        <f t="shared" si="8"/>
        <v>1.5341974655976194</v>
      </c>
      <c r="M26" s="37">
        <f t="shared" si="1"/>
        <v>169.22041499306926</v>
      </c>
      <c r="N26" s="37">
        <f t="shared" si="9"/>
        <v>183.92248444785193</v>
      </c>
      <c r="O26" s="37">
        <f t="shared" si="10"/>
        <v>159.94067854447849</v>
      </c>
      <c r="P26" s="37">
        <f t="shared" si="11"/>
        <v>163.49308493552661</v>
      </c>
      <c r="Q26" s="37">
        <f t="shared" si="12"/>
        <v>141.81841598078859</v>
      </c>
      <c r="R26" s="37">
        <f t="shared" si="13"/>
        <v>188.34863988121711</v>
      </c>
    </row>
    <row r="27" spans="3:23">
      <c r="C27" s="33" t="s">
        <v>30</v>
      </c>
      <c r="D27" s="40">
        <v>4</v>
      </c>
      <c r="E27" s="5">
        <f t="shared" si="2"/>
        <v>166.19158145584512</v>
      </c>
      <c r="F27" s="5">
        <f t="shared" si="3"/>
        <v>173.45937540885285</v>
      </c>
      <c r="G27" s="5">
        <f t="shared" si="4"/>
        <v>131.70371227153004</v>
      </c>
      <c r="H27" s="5">
        <f t="shared" si="5"/>
        <v>229.6543504422298</v>
      </c>
      <c r="I27" s="5">
        <f t="shared" si="0"/>
        <v>1.3169578969248166</v>
      </c>
      <c r="J27" s="5">
        <f t="shared" si="6"/>
        <v>157.87939541490417</v>
      </c>
      <c r="K27" s="5">
        <f t="shared" si="7"/>
        <v>0.23364023492142144</v>
      </c>
      <c r="L27" s="5">
        <f t="shared" si="8"/>
        <v>1.5505981318462381</v>
      </c>
      <c r="M27" s="37">
        <f t="shared" si="1"/>
        <v>171.31253334935579</v>
      </c>
      <c r="N27" s="37">
        <f t="shared" si="9"/>
        <v>185.88862723630388</v>
      </c>
      <c r="O27" s="37">
        <f t="shared" si="10"/>
        <v>161.98217927690573</v>
      </c>
      <c r="P27" s="37">
        <f t="shared" si="11"/>
        <v>165.48613633352065</v>
      </c>
      <c r="Q27" s="37">
        <f t="shared" si="12"/>
        <v>144.19882963230893</v>
      </c>
      <c r="R27" s="37">
        <f t="shared" si="13"/>
        <v>190.41452151089152</v>
      </c>
      <c r="S27" s="8"/>
    </row>
    <row r="28" spans="3:23">
      <c r="C28" s="33"/>
      <c r="D28" s="40">
        <v>4.5</v>
      </c>
      <c r="E28" s="5">
        <f t="shared" si="2"/>
        <v>180.31163381513747</v>
      </c>
      <c r="F28" s="5">
        <f t="shared" si="3"/>
        <v>186.79331422864752</v>
      </c>
      <c r="G28" s="5">
        <f t="shared" si="4"/>
        <v>150.18358637437947</v>
      </c>
      <c r="H28" s="5">
        <f t="shared" si="5"/>
        <v>243.16820207998683</v>
      </c>
      <c r="I28" s="5">
        <f t="shared" si="0"/>
        <v>1.4505745138225801</v>
      </c>
      <c r="J28" s="57">
        <f t="shared" si="6"/>
        <v>173.8976073429109</v>
      </c>
      <c r="K28" s="5">
        <f t="shared" si="7"/>
        <v>0.21948468868399254</v>
      </c>
      <c r="L28" s="5">
        <f t="shared" si="8"/>
        <v>1.6700592025065726</v>
      </c>
      <c r="M28" s="37">
        <f t="shared" si="1"/>
        <v>186.5904957802436</v>
      </c>
      <c r="N28" s="37">
        <f t="shared" si="9"/>
        <v>200.20984559530467</v>
      </c>
      <c r="O28" s="37">
        <f t="shared" si="10"/>
        <v>177.07558187549043</v>
      </c>
      <c r="P28" s="37">
        <f t="shared" si="11"/>
        <v>180.23015955165306</v>
      </c>
      <c r="Q28" s="37">
        <f t="shared" si="12"/>
        <v>161.60620759327901</v>
      </c>
      <c r="R28" s="37">
        <f t="shared" si="13"/>
        <v>205.63649608857654</v>
      </c>
      <c r="S28" s="8"/>
    </row>
    <row r="29" spans="3:23">
      <c r="C29" s="33" t="s">
        <v>30</v>
      </c>
      <c r="D29" s="40">
        <v>5</v>
      </c>
      <c r="E29" s="5">
        <f t="shared" si="2"/>
        <v>192.94245105804418</v>
      </c>
      <c r="F29" s="5">
        <f t="shared" si="3"/>
        <v>198.79150791798693</v>
      </c>
      <c r="G29" s="5">
        <f t="shared" si="4"/>
        <v>166.19158145584512</v>
      </c>
      <c r="H29" s="5">
        <f t="shared" si="5"/>
        <v>255.31184197960459</v>
      </c>
      <c r="I29" s="5">
        <f t="shared" si="0"/>
        <v>1.5667992369724109</v>
      </c>
      <c r="J29" s="5">
        <f t="shared" si="6"/>
        <v>187.83084626118398</v>
      </c>
      <c r="K29" s="5">
        <f t="shared" si="7"/>
        <v>0.20618678363729168</v>
      </c>
      <c r="L29" s="5">
        <f t="shared" si="8"/>
        <v>1.7729860206097026</v>
      </c>
      <c r="M29" s="37">
        <f t="shared" si="1"/>
        <v>199.80801034040149</v>
      </c>
      <c r="N29" s="37">
        <f t="shared" si="9"/>
        <v>212.54890658734308</v>
      </c>
      <c r="O29" s="37">
        <f t="shared" si="10"/>
        <v>190.36949299175933</v>
      </c>
      <c r="P29" s="37">
        <f t="shared" si="11"/>
        <v>193.23347836690294</v>
      </c>
      <c r="Q29" s="37">
        <f t="shared" si="12"/>
        <v>176.68023484910776</v>
      </c>
      <c r="R29" s="37">
        <f t="shared" si="13"/>
        <v>218.98730406014593</v>
      </c>
      <c r="S29" s="9"/>
    </row>
    <row r="30" spans="3:23">
      <c r="C30" s="33" t="s">
        <v>30</v>
      </c>
      <c r="D30" s="40">
        <v>6</v>
      </c>
      <c r="E30" s="5">
        <f t="shared" ref="E30:E48" si="14">$X$5*LN(D30)</f>
        <v>214.79950299945259</v>
      </c>
      <c r="F30" s="5">
        <f t="shared" ref="F30:F48" si="15">$X$5*LN(D30+1/4)</f>
        <v>219.69332066024327</v>
      </c>
      <c r="G30" s="5">
        <f t="shared" ref="G30:G48" si="16">$X$5*LN(D30-1)</f>
        <v>192.94245105804418</v>
      </c>
      <c r="H30" s="5">
        <f t="shared" ref="H30:H48" si="17">$X$5*LN(1.6208*D30+0.3083)</f>
        <v>276.43439555259567</v>
      </c>
      <c r="I30" s="5">
        <f t="shared" si="0"/>
        <v>1.7627471740390861</v>
      </c>
      <c r="J30" s="5">
        <f t="shared" si="6"/>
        <v>211.32145435816437</v>
      </c>
      <c r="K30" s="5">
        <f t="shared" si="7"/>
        <v>0.18195919791379003</v>
      </c>
      <c r="L30" s="5">
        <f t="shared" si="8"/>
        <v>1.9447063719528761</v>
      </c>
      <c r="M30" s="37">
        <f t="shared" si="1"/>
        <v>221.96044966653454</v>
      </c>
      <c r="N30" s="37">
        <f t="shared" si="9"/>
        <v>233.13506603389897</v>
      </c>
      <c r="O30" s="37">
        <f t="shared" si="10"/>
        <v>213.05338150157394</v>
      </c>
      <c r="P30" s="37">
        <f t="shared" si="11"/>
        <v>215.46673069106785</v>
      </c>
      <c r="Q30" s="37">
        <f t="shared" si="12"/>
        <v>201.92295403201402</v>
      </c>
      <c r="R30" s="37">
        <f t="shared" si="13"/>
        <v>241.69509408094032</v>
      </c>
      <c r="S30" s="10"/>
      <c r="T30" s="11"/>
      <c r="U30" s="10"/>
      <c r="V30" s="11"/>
      <c r="W30" s="10"/>
    </row>
    <row r="31" spans="3:23">
      <c r="C31" s="33" t="s">
        <v>30</v>
      </c>
      <c r="D31" s="40">
        <v>7</v>
      </c>
      <c r="E31" s="5">
        <f t="shared" si="14"/>
        <v>233.27937710230202</v>
      </c>
      <c r="F31" s="5">
        <f t="shared" si="15"/>
        <v>237.48619067550061</v>
      </c>
      <c r="G31" s="5">
        <f t="shared" si="16"/>
        <v>214.79950299945259</v>
      </c>
      <c r="H31" s="5">
        <f t="shared" si="17"/>
        <v>294.38685902507757</v>
      </c>
      <c r="I31" s="5">
        <f t="shared" si="0"/>
        <v>1.9248473002384139</v>
      </c>
      <c r="J31" s="5">
        <f t="shared" si="6"/>
        <v>230.75432307840907</v>
      </c>
      <c r="K31" s="5">
        <f t="shared" si="7"/>
        <v>0.16057842855569707</v>
      </c>
      <c r="L31" s="5">
        <f t="shared" si="8"/>
        <v>2.0854257287941111</v>
      </c>
      <c r="M31" s="37">
        <f t="shared" si="1"/>
        <v>240.18676267407969</v>
      </c>
      <c r="N31" s="37">
        <f t="shared" si="9"/>
        <v>250.00476781642806</v>
      </c>
      <c r="O31" s="37">
        <f t="shared" si="10"/>
        <v>232.0134150246374</v>
      </c>
      <c r="P31" s="37">
        <f t="shared" si="11"/>
        <v>234.09605970582916</v>
      </c>
      <c r="Q31" s="37">
        <f t="shared" si="12"/>
        <v>222.63403583508381</v>
      </c>
      <c r="R31" s="37">
        <f t="shared" si="13"/>
        <v>260.63583862836447</v>
      </c>
      <c r="S31" s="9"/>
    </row>
    <row r="32" spans="3:23">
      <c r="C32" s="33" t="s">
        <v>30</v>
      </c>
      <c r="D32" s="40">
        <v>8</v>
      </c>
      <c r="E32" s="5">
        <f t="shared" si="14"/>
        <v>249.28737218376767</v>
      </c>
      <c r="F32" s="5">
        <f t="shared" si="15"/>
        <v>252.97633663552816</v>
      </c>
      <c r="G32" s="5">
        <f t="shared" si="16"/>
        <v>233.27937710230202</v>
      </c>
      <c r="H32" s="5">
        <f t="shared" si="17"/>
        <v>309.99776783232932</v>
      </c>
      <c r="I32" s="5">
        <f t="shared" si="0"/>
        <v>2.0634370688955608</v>
      </c>
      <c r="J32" s="5">
        <f t="shared" si="6"/>
        <v>247.36872581472596</v>
      </c>
      <c r="K32" s="5">
        <f t="shared" si="7"/>
        <v>0.14170996582230441</v>
      </c>
      <c r="L32" s="5">
        <f t="shared" si="8"/>
        <v>2.2051470347178652</v>
      </c>
      <c r="M32" s="37">
        <f t="shared" si="1"/>
        <v>255.72191866218637</v>
      </c>
      <c r="N32" s="37">
        <f t="shared" si="9"/>
        <v>264.35718366940358</v>
      </c>
      <c r="O32" s="37">
        <f t="shared" si="10"/>
        <v>248.32619599792523</v>
      </c>
      <c r="P32" s="37">
        <f t="shared" si="11"/>
        <v>250.15681892526493</v>
      </c>
      <c r="Q32" s="37">
        <f t="shared" si="12"/>
        <v>240.22077818675345</v>
      </c>
      <c r="R32" s="37">
        <f t="shared" si="13"/>
        <v>276.91831437102991</v>
      </c>
      <c r="S32" s="10"/>
      <c r="T32" s="11"/>
      <c r="U32" s="12"/>
    </row>
    <row r="33" spans="3:20">
      <c r="C33" s="33" t="s">
        <v>30</v>
      </c>
      <c r="D33" s="40">
        <v>9</v>
      </c>
      <c r="E33" s="5">
        <f t="shared" si="14"/>
        <v>263.40742454306007</v>
      </c>
      <c r="F33" s="5">
        <f t="shared" si="15"/>
        <v>266.69206522132998</v>
      </c>
      <c r="G33" s="5">
        <f t="shared" si="16"/>
        <v>249.28737218376767</v>
      </c>
      <c r="H33" s="5">
        <f t="shared" si="17"/>
        <v>323.80806341303884</v>
      </c>
      <c r="I33" s="5">
        <f t="shared" si="0"/>
        <v>2.1846437916051089</v>
      </c>
      <c r="J33" s="5">
        <f t="shared" si="6"/>
        <v>261.8992162322931</v>
      </c>
      <c r="K33" s="5">
        <f t="shared" si="7"/>
        <v>0.1250586059035525</v>
      </c>
      <c r="L33" s="5">
        <f t="shared" si="8"/>
        <v>2.3097023975086612</v>
      </c>
      <c r="M33" s="37">
        <f t="shared" si="1"/>
        <v>269.29103398153308</v>
      </c>
      <c r="N33" s="37">
        <f t="shared" si="9"/>
        <v>276.89147766873504</v>
      </c>
      <c r="O33" s="37">
        <f t="shared" si="10"/>
        <v>262.65223783092785</v>
      </c>
      <c r="P33" s="37">
        <f t="shared" si="11"/>
        <v>264.28477605953378</v>
      </c>
      <c r="Q33" s="37">
        <f t="shared" si="12"/>
        <v>255.51549344714243</v>
      </c>
      <c r="R33" s="37">
        <f t="shared" si="13"/>
        <v>291.21311443266342</v>
      </c>
    </row>
    <row r="34" spans="3:20">
      <c r="C34" s="33" t="s">
        <v>30</v>
      </c>
      <c r="D34" s="40">
        <v>10</v>
      </c>
      <c r="E34" s="5">
        <f t="shared" si="14"/>
        <v>276.03824178596676</v>
      </c>
      <c r="F34" s="5">
        <f t="shared" si="15"/>
        <v>278.99843873386118</v>
      </c>
      <c r="G34" s="5">
        <f t="shared" si="16"/>
        <v>263.40742454306007</v>
      </c>
      <c r="H34" s="5">
        <f t="shared" si="17"/>
        <v>336.19049767675358</v>
      </c>
      <c r="I34" s="5">
        <f t="shared" si="0"/>
        <v>2.2924316695611777</v>
      </c>
      <c r="J34" s="5">
        <f t="shared" si="6"/>
        <v>274.82103024358116</v>
      </c>
      <c r="K34" s="5">
        <f t="shared" si="7"/>
        <v>0.1103638323514327</v>
      </c>
      <c r="L34" s="5">
        <f t="shared" si="8"/>
        <v>2.4027955019126104</v>
      </c>
      <c r="M34" s="37">
        <f t="shared" si="1"/>
        <v>281.35858341207262</v>
      </c>
      <c r="N34" s="37">
        <f t="shared" si="9"/>
        <v>288.05165452397972</v>
      </c>
      <c r="O34" s="37">
        <f t="shared" si="10"/>
        <v>275.42896360812557</v>
      </c>
      <c r="P34" s="37">
        <f t="shared" si="11"/>
        <v>276.90185692622282</v>
      </c>
      <c r="Q34" s="37">
        <f t="shared" si="12"/>
        <v>269.0537117133531</v>
      </c>
      <c r="R34" s="37">
        <f t="shared" si="13"/>
        <v>303.96088388085019</v>
      </c>
      <c r="S34" s="8"/>
    </row>
    <row r="35" spans="3:20">
      <c r="C35" s="33" t="s">
        <v>30</v>
      </c>
      <c r="D35" s="40">
        <v>11</v>
      </c>
      <c r="E35" s="5">
        <f t="shared" si="14"/>
        <v>287.4642058198433</v>
      </c>
      <c r="F35" s="5">
        <f t="shared" si="15"/>
        <v>290.15829414525911</v>
      </c>
      <c r="G35" s="5">
        <f t="shared" si="16"/>
        <v>276.03824178596676</v>
      </c>
      <c r="H35" s="5">
        <f t="shared" si="17"/>
        <v>347.41285579656267</v>
      </c>
      <c r="I35" s="5">
        <f t="shared" si="0"/>
        <v>2.3895264345742189</v>
      </c>
      <c r="J35" s="5">
        <f t="shared" si="6"/>
        <v>286.46093371658208</v>
      </c>
      <c r="K35" s="5">
        <f t="shared" si="7"/>
        <v>9.7395740207504924E-2</v>
      </c>
      <c r="L35" s="5">
        <f t="shared" si="8"/>
        <v>2.4869221747817236</v>
      </c>
      <c r="M35" s="37">
        <f t="shared" si="1"/>
        <v>292.24062020135386</v>
      </c>
      <c r="N35" s="37">
        <f t="shared" si="9"/>
        <v>298.1369186632943</v>
      </c>
      <c r="O35" s="37">
        <f t="shared" si="10"/>
        <v>286.96213131569823</v>
      </c>
      <c r="P35" s="37">
        <f t="shared" si="11"/>
        <v>288.30368687628953</v>
      </c>
      <c r="Q35" s="37">
        <f t="shared" si="12"/>
        <v>281.20130242140004</v>
      </c>
      <c r="R35" s="37">
        <f t="shared" si="13"/>
        <v>315.468240963536</v>
      </c>
      <c r="S35" s="9"/>
    </row>
    <row r="36" spans="3:20">
      <c r="C36" s="33" t="s">
        <v>30</v>
      </c>
      <c r="D36" s="40">
        <v>12</v>
      </c>
      <c r="E36" s="5">
        <f t="shared" si="14"/>
        <v>297.89529372737513</v>
      </c>
      <c r="F36" s="5">
        <f t="shared" si="15"/>
        <v>300.36717274875895</v>
      </c>
      <c r="G36" s="5">
        <f t="shared" si="16"/>
        <v>287.4642058198433</v>
      </c>
      <c r="H36" s="5">
        <f t="shared" si="17"/>
        <v>357.67400755547322</v>
      </c>
      <c r="I36" s="5">
        <f t="shared" si="0"/>
        <v>2.4778887302884751</v>
      </c>
      <c r="J36" s="5">
        <f t="shared" si="6"/>
        <v>297.05397230757677</v>
      </c>
      <c r="K36" s="5">
        <f t="shared" si="7"/>
        <v>8.5951439058057022E-2</v>
      </c>
      <c r="L36" s="5">
        <f t="shared" si="8"/>
        <v>2.5638401693465322</v>
      </c>
      <c r="M36" s="37">
        <f t="shared" si="1"/>
        <v>302.16206363283936</v>
      </c>
      <c r="N36" s="37">
        <f t="shared" si="9"/>
        <v>307.35799285767467</v>
      </c>
      <c r="O36" s="37">
        <f t="shared" si="10"/>
        <v>297.47433558787748</v>
      </c>
      <c r="P36" s="37">
        <f t="shared" si="11"/>
        <v>298.7059788752394</v>
      </c>
      <c r="Q36" s="37">
        <f t="shared" si="12"/>
        <v>292.21975332791459</v>
      </c>
      <c r="R36" s="37">
        <f t="shared" si="13"/>
        <v>325.95779594224086</v>
      </c>
      <c r="T36" s="11"/>
    </row>
    <row r="37" spans="3:20">
      <c r="C37" s="33" t="s">
        <v>30</v>
      </c>
      <c r="D37" s="40">
        <v>13</v>
      </c>
      <c r="E37" s="5">
        <f t="shared" si="14"/>
        <v>307.49096441994499</v>
      </c>
      <c r="F37" s="5">
        <f t="shared" si="15"/>
        <v>309.77449794272559</v>
      </c>
      <c r="G37" s="5">
        <f t="shared" si="16"/>
        <v>297.89529372737513</v>
      </c>
      <c r="H37" s="5">
        <f t="shared" si="17"/>
        <v>367.12569773217939</v>
      </c>
      <c r="I37" s="5">
        <f t="shared" si="0"/>
        <v>2.5589789770286124</v>
      </c>
      <c r="J37" s="5">
        <f t="shared" si="6"/>
        <v>306.77522395827333</v>
      </c>
      <c r="K37" s="5">
        <f t="shared" si="7"/>
        <v>7.5851878741423934E-2</v>
      </c>
      <c r="L37" s="5">
        <f t="shared" si="8"/>
        <v>2.6348308557700362</v>
      </c>
      <c r="M37" s="37">
        <f t="shared" si="1"/>
        <v>311.28865513488887</v>
      </c>
      <c r="N37" s="37">
        <f t="shared" si="9"/>
        <v>315.86849017790274</v>
      </c>
      <c r="O37" s="37">
        <f t="shared" si="10"/>
        <v>307.1328856945704</v>
      </c>
      <c r="P37" s="37">
        <f t="shared" si="11"/>
        <v>308.27121335431451</v>
      </c>
      <c r="Q37" s="37">
        <f t="shared" si="12"/>
        <v>302.30265537922611</v>
      </c>
      <c r="R37" s="37">
        <f t="shared" si="13"/>
        <v>335.5965854156247</v>
      </c>
      <c r="S37" s="8"/>
    </row>
    <row r="38" spans="3:20">
      <c r="C38" s="33" t="s">
        <v>30</v>
      </c>
      <c r="D38" s="40">
        <v>14</v>
      </c>
      <c r="E38" s="5">
        <f t="shared" si="14"/>
        <v>316.3751678302246</v>
      </c>
      <c r="F38" s="5">
        <f t="shared" si="15"/>
        <v>318.49702650017753</v>
      </c>
      <c r="G38" s="5">
        <f t="shared" si="16"/>
        <v>307.49096441994499</v>
      </c>
      <c r="H38" s="5">
        <f t="shared" si="17"/>
        <v>375.88635148903853</v>
      </c>
      <c r="I38" s="5">
        <f t="shared" si="0"/>
        <v>2.6339157938496336</v>
      </c>
      <c r="J38" s="5">
        <f t="shared" si="6"/>
        <v>315.75879082980839</v>
      </c>
      <c r="K38" s="5">
        <f t="shared" si="7"/>
        <v>6.6939048044528937E-2</v>
      </c>
      <c r="L38" s="5">
        <f t="shared" si="8"/>
        <v>2.7008548418941625</v>
      </c>
      <c r="M38" s="37">
        <f t="shared" si="1"/>
        <v>319.7460063648715</v>
      </c>
      <c r="N38" s="37">
        <f t="shared" si="9"/>
        <v>323.78357010300846</v>
      </c>
      <c r="O38" s="37">
        <f t="shared" si="10"/>
        <v>316.06682907677833</v>
      </c>
      <c r="P38" s="37">
        <f t="shared" si="11"/>
        <v>317.12495324490862</v>
      </c>
      <c r="Q38" s="37">
        <f t="shared" si="12"/>
        <v>311.59745685151773</v>
      </c>
      <c r="R38" s="37">
        <f t="shared" si="13"/>
        <v>344.51330864802185</v>
      </c>
      <c r="S38" s="8"/>
    </row>
    <row r="39" spans="3:20">
      <c r="C39" s="33" t="s">
        <v>30</v>
      </c>
      <c r="D39" s="40">
        <v>15</v>
      </c>
      <c r="E39" s="5">
        <f t="shared" si="14"/>
        <v>324.64616332957422</v>
      </c>
      <c r="F39" s="5">
        <f t="shared" si="15"/>
        <v>326.62772720855713</v>
      </c>
      <c r="G39" s="5">
        <f t="shared" si="16"/>
        <v>316.3751678302246</v>
      </c>
      <c r="H39" s="5">
        <f t="shared" si="17"/>
        <v>384.05016752975308</v>
      </c>
      <c r="I39" s="5">
        <f t="shared" si="0"/>
        <v>2.7035758309314022</v>
      </c>
      <c r="J39" s="5">
        <f t="shared" si="6"/>
        <v>324.10976739840652</v>
      </c>
      <c r="K39" s="5">
        <f t="shared" si="7"/>
        <v>5.9073502561258213E-2</v>
      </c>
      <c r="L39" s="5">
        <f t="shared" si="8"/>
        <v>2.7626493334926603</v>
      </c>
      <c r="M39" s="37">
        <f t="shared" si="1"/>
        <v>327.63155489472138</v>
      </c>
      <c r="N39" s="37">
        <f t="shared" si="9"/>
        <v>331.19161025093064</v>
      </c>
      <c r="O39" s="37">
        <f t="shared" si="10"/>
        <v>324.37785448999659</v>
      </c>
      <c r="P39" s="37">
        <f t="shared" si="11"/>
        <v>325.36631154966801</v>
      </c>
      <c r="Q39" s="37">
        <f t="shared" si="12"/>
        <v>320.21911569437248</v>
      </c>
      <c r="R39" s="37">
        <f t="shared" si="13"/>
        <v>352.80931176399997</v>
      </c>
    </row>
    <row r="40" spans="3:20">
      <c r="C40" s="33" t="s">
        <v>30</v>
      </c>
      <c r="D40" s="40">
        <v>16</v>
      </c>
      <c r="E40" s="5">
        <f t="shared" si="14"/>
        <v>332.38316291169025</v>
      </c>
      <c r="F40" s="5">
        <f t="shared" si="15"/>
        <v>334.24183402214402</v>
      </c>
      <c r="G40" s="5">
        <f t="shared" si="16"/>
        <v>324.64616332957422</v>
      </c>
      <c r="H40" s="5">
        <f t="shared" si="17"/>
        <v>391.69330641632018</v>
      </c>
      <c r="I40" s="5">
        <f t="shared" si="0"/>
        <v>2.7686593833135738</v>
      </c>
      <c r="J40" s="5">
        <f t="shared" si="6"/>
        <v>331.91210635361921</v>
      </c>
      <c r="K40" s="5">
        <f t="shared" si="7"/>
        <v>5.2132183035133541E-2</v>
      </c>
      <c r="L40" s="5">
        <f t="shared" si="8"/>
        <v>2.8207915663487073</v>
      </c>
      <c r="M40" s="37">
        <f t="shared" si="1"/>
        <v>335.02238565444327</v>
      </c>
      <c r="N40" s="37">
        <f t="shared" si="9"/>
        <v>338.16181073556265</v>
      </c>
      <c r="O40" s="37">
        <f t="shared" si="10"/>
        <v>332.14755112524506</v>
      </c>
      <c r="P40" s="37">
        <f t="shared" si="11"/>
        <v>333.07493325344461</v>
      </c>
      <c r="Q40" s="37">
        <f t="shared" si="12"/>
        <v>328.2590316965248</v>
      </c>
      <c r="R40" s="37">
        <f t="shared" si="13"/>
        <v>360.56587522567139</v>
      </c>
    </row>
    <row r="41" spans="3:20">
      <c r="C41" s="33" t="s">
        <v>30</v>
      </c>
      <c r="D41" s="40">
        <v>17</v>
      </c>
      <c r="E41" s="5">
        <f t="shared" si="14"/>
        <v>339.650956864698</v>
      </c>
      <c r="F41" s="5">
        <f t="shared" si="15"/>
        <v>341.40108846099048</v>
      </c>
      <c r="G41" s="5">
        <f t="shared" si="16"/>
        <v>332.38316291169025</v>
      </c>
      <c r="H41" s="5">
        <f t="shared" si="17"/>
        <v>398.8782210367296</v>
      </c>
      <c r="I41" s="5">
        <f t="shared" si="0"/>
        <v>2.8297350375243902</v>
      </c>
      <c r="J41" s="5">
        <f t="shared" si="6"/>
        <v>339.23397092035253</v>
      </c>
      <c r="K41" s="5">
        <f t="shared" si="7"/>
        <v>4.6006490053478538E-2</v>
      </c>
      <c r="L41" s="5">
        <f t="shared" si="8"/>
        <v>2.8757415275778686</v>
      </c>
      <c r="M41" s="37">
        <f t="shared" si="1"/>
        <v>341.98052478178715</v>
      </c>
      <c r="N41" s="37">
        <f t="shared" si="9"/>
        <v>344.74931567948698</v>
      </c>
      <c r="O41" s="37">
        <f t="shared" si="10"/>
        <v>339.44239986205156</v>
      </c>
      <c r="P41" s="37">
        <f t="shared" si="11"/>
        <v>340.31580468022986</v>
      </c>
      <c r="Q41" s="37">
        <f t="shared" si="12"/>
        <v>335.7910961023224</v>
      </c>
      <c r="R41" s="37">
        <f t="shared" si="13"/>
        <v>367.84921209095432</v>
      </c>
    </row>
    <row r="42" spans="3:20">
      <c r="C42" s="33" t="s">
        <v>30</v>
      </c>
      <c r="D42" s="40">
        <v>18</v>
      </c>
      <c r="E42" s="5">
        <f t="shared" si="14"/>
        <v>346.50321527098259</v>
      </c>
      <c r="F42" s="5">
        <f t="shared" si="15"/>
        <v>348.1567847314044</v>
      </c>
      <c r="G42" s="5">
        <f t="shared" si="16"/>
        <v>339.650956864698</v>
      </c>
      <c r="H42" s="5">
        <f t="shared" si="17"/>
        <v>405.65676079237102</v>
      </c>
      <c r="I42" s="5">
        <f t="shared" si="0"/>
        <v>2.8872709503576206</v>
      </c>
      <c r="J42" s="5">
        <f t="shared" si="6"/>
        <v>346.13148461761358</v>
      </c>
      <c r="K42" s="5">
        <f t="shared" si="7"/>
        <v>4.0600584970983809E-2</v>
      </c>
      <c r="L42" s="5">
        <f t="shared" si="8"/>
        <v>2.9278715353286042</v>
      </c>
      <c r="M42" s="37">
        <f t="shared" si="1"/>
        <v>348.55662617427453</v>
      </c>
      <c r="N42" s="37">
        <f t="shared" si="9"/>
        <v>350.99875928423592</v>
      </c>
      <c r="O42" s="37">
        <f t="shared" si="10"/>
        <v>346.3173000681914</v>
      </c>
      <c r="P42" s="37">
        <f t="shared" si="11"/>
        <v>347.14265767660407</v>
      </c>
      <c r="Q42" s="37">
        <f t="shared" si="12"/>
        <v>342.87591042733078</v>
      </c>
      <c r="R42" s="37">
        <f t="shared" si="13"/>
        <v>374.71399341128898</v>
      </c>
    </row>
    <row r="43" spans="3:20">
      <c r="C43" s="33" t="s">
        <v>30</v>
      </c>
      <c r="D43" s="40">
        <v>19</v>
      </c>
      <c r="E43" s="5">
        <f t="shared" si="14"/>
        <v>352.98489568449264</v>
      </c>
      <c r="F43" s="5">
        <f t="shared" si="15"/>
        <v>354.55200146630023</v>
      </c>
      <c r="G43" s="5">
        <f t="shared" si="16"/>
        <v>346.50321527098259</v>
      </c>
      <c r="H43" s="5">
        <f t="shared" si="17"/>
        <v>412.07244396608013</v>
      </c>
      <c r="I43" s="5">
        <f t="shared" si="0"/>
        <v>2.9416573146511862</v>
      </c>
      <c r="J43" s="5">
        <f t="shared" si="6"/>
        <v>352.65142449840471</v>
      </c>
      <c r="K43" s="5">
        <f t="shared" si="7"/>
        <v>3.5829890480015884E-2</v>
      </c>
      <c r="L43" s="5">
        <f t="shared" si="8"/>
        <v>2.9774872051312022</v>
      </c>
      <c r="M43" s="37">
        <f t="shared" si="1"/>
        <v>354.79260166442157</v>
      </c>
      <c r="N43" s="37">
        <f t="shared" si="9"/>
        <v>356.94677931572738</v>
      </c>
      <c r="O43" s="37">
        <f t="shared" si="10"/>
        <v>352.81812069330726</v>
      </c>
      <c r="P43" s="37">
        <f t="shared" si="11"/>
        <v>353.60043605155698</v>
      </c>
      <c r="Q43" s="37">
        <f t="shared" si="12"/>
        <v>349.56380312982833</v>
      </c>
      <c r="R43" s="37">
        <f t="shared" si="13"/>
        <v>381.20589497170323</v>
      </c>
    </row>
    <row r="44" spans="3:20">
      <c r="C44" s="33" t="s">
        <v>30</v>
      </c>
      <c r="D44" s="40">
        <v>20</v>
      </c>
      <c r="E44" s="5">
        <f t="shared" si="14"/>
        <v>359.13403251388934</v>
      </c>
      <c r="F44" s="5">
        <f t="shared" si="15"/>
        <v>360.62326763027494</v>
      </c>
      <c r="G44" s="5">
        <f t="shared" si="16"/>
        <v>352.98489568449264</v>
      </c>
      <c r="H44" s="5">
        <f t="shared" si="17"/>
        <v>418.16215219920514</v>
      </c>
      <c r="I44" s="5">
        <f t="shared" si="0"/>
        <v>2.9932228461263808</v>
      </c>
      <c r="J44" s="5">
        <f t="shared" si="6"/>
        <v>358.83319762309003</v>
      </c>
      <c r="K44" s="5">
        <f t="shared" si="7"/>
        <v>3.1619767368559301E-2</v>
      </c>
      <c r="L44" s="5">
        <f t="shared" si="8"/>
        <v>3.0248426134949402</v>
      </c>
      <c r="M44" s="37">
        <f t="shared" si="1"/>
        <v>360.72353711342231</v>
      </c>
      <c r="N44" s="37">
        <f t="shared" si="9"/>
        <v>362.62383494487909</v>
      </c>
      <c r="O44" s="37">
        <f t="shared" si="10"/>
        <v>358.98358355533986</v>
      </c>
      <c r="P44" s="37">
        <f t="shared" si="11"/>
        <v>359.72711916264933</v>
      </c>
      <c r="Q44" s="37">
        <f t="shared" si="12"/>
        <v>355.89703402967456</v>
      </c>
      <c r="R44" s="37">
        <f t="shared" si="13"/>
        <v>387.3634755608665</v>
      </c>
    </row>
    <row r="45" spans="3:20">
      <c r="C45" s="33" t="s">
        <v>30</v>
      </c>
      <c r="D45" s="40">
        <v>21</v>
      </c>
      <c r="E45" s="5">
        <f t="shared" si="14"/>
        <v>364.98308937383206</v>
      </c>
      <c r="F45" s="5">
        <f t="shared" si="15"/>
        <v>366.40182646689703</v>
      </c>
      <c r="G45" s="5">
        <f t="shared" si="16"/>
        <v>359.13403251388934</v>
      </c>
      <c r="H45" s="5">
        <f t="shared" si="17"/>
        <v>423.95741493209152</v>
      </c>
      <c r="I45" s="5">
        <f t="shared" si="0"/>
        <v>3.0422471120933285</v>
      </c>
      <c r="J45" s="5">
        <f t="shared" si="6"/>
        <v>364.71031904784809</v>
      </c>
      <c r="K45" s="5">
        <f t="shared" si="7"/>
        <v>2.7904346763199046E-2</v>
      </c>
      <c r="L45" s="5">
        <f t="shared" si="8"/>
        <v>3.0701514588565275</v>
      </c>
      <c r="M45" s="37">
        <f t="shared" si="1"/>
        <v>366.37911396612554</v>
      </c>
      <c r="N45" s="37">
        <f t="shared" si="9"/>
        <v>368.05554474314852</v>
      </c>
      <c r="O45" s="37">
        <f t="shared" si="10"/>
        <v>364.84667871943077</v>
      </c>
      <c r="P45" s="37">
        <f t="shared" si="11"/>
        <v>365.555094384494</v>
      </c>
      <c r="Q45" s="37">
        <f t="shared" si="12"/>
        <v>361.91143609877935</v>
      </c>
      <c r="R45" s="37">
        <f t="shared" si="13"/>
        <v>393.21958758762776</v>
      </c>
    </row>
    <row r="46" spans="3:20">
      <c r="C46" s="33" t="s">
        <v>30</v>
      </c>
      <c r="D46" s="40">
        <v>22</v>
      </c>
      <c r="E46" s="5">
        <f t="shared" si="14"/>
        <v>370.55999654776588</v>
      </c>
      <c r="F46" s="5">
        <f t="shared" si="15"/>
        <v>371.91460853355068</v>
      </c>
      <c r="G46" s="5">
        <f t="shared" si="16"/>
        <v>364.98308937383206</v>
      </c>
      <c r="H46" s="5">
        <f t="shared" si="17"/>
        <v>429.48539739840606</v>
      </c>
      <c r="I46" s="5">
        <f t="shared" si="0"/>
        <v>3.0889699048446033</v>
      </c>
      <c r="J46" s="5">
        <f t="shared" si="6"/>
        <v>370.31153552476957</v>
      </c>
      <c r="K46" s="5">
        <f t="shared" si="7"/>
        <v>2.4625499587169638E-2</v>
      </c>
      <c r="L46" s="5">
        <f t="shared" si="8"/>
        <v>3.1135954044317731</v>
      </c>
      <c r="M46" s="37">
        <f t="shared" si="1"/>
        <v>371.78468100381002</v>
      </c>
      <c r="N46" s="37">
        <f t="shared" si="9"/>
        <v>373.26368683931861</v>
      </c>
      <c r="O46" s="37">
        <f t="shared" si="10"/>
        <v>370.43574520509827</v>
      </c>
      <c r="P46" s="37">
        <f t="shared" si="11"/>
        <v>371.11220644186938</v>
      </c>
      <c r="Q46" s="37">
        <f t="shared" si="12"/>
        <v>367.63765893417116</v>
      </c>
      <c r="R46" s="37">
        <f t="shared" si="13"/>
        <v>398.80245359835698</v>
      </c>
    </row>
    <row r="47" spans="3:20">
      <c r="C47" s="33" t="s">
        <v>30</v>
      </c>
      <c r="D47" s="40">
        <v>23</v>
      </c>
      <c r="E47" s="5">
        <f t="shared" si="14"/>
        <v>375.8889576453056</v>
      </c>
      <c r="F47" s="5">
        <f t="shared" si="15"/>
        <v>377.1849906486388</v>
      </c>
      <c r="G47" s="5">
        <f t="shared" si="16"/>
        <v>370.55999654776588</v>
      </c>
      <c r="H47" s="5">
        <f t="shared" si="17"/>
        <v>434.76967066632085</v>
      </c>
      <c r="I47" s="5">
        <f t="shared" si="0"/>
        <v>3.1335984739448222</v>
      </c>
      <c r="J47" s="5">
        <f t="shared" si="6"/>
        <v>375.66169252236801</v>
      </c>
      <c r="K47" s="5">
        <f t="shared" si="7"/>
        <v>2.1731927110275436E-2</v>
      </c>
      <c r="L47" s="5">
        <f t="shared" si="8"/>
        <v>3.1553304010550978</v>
      </c>
      <c r="M47" s="37">
        <f t="shared" si="1"/>
        <v>376.9620740331585</v>
      </c>
      <c r="N47" s="37">
        <f t="shared" si="9"/>
        <v>378.26695691341854</v>
      </c>
      <c r="O47" s="37">
        <f t="shared" si="10"/>
        <v>375.77530790287989</v>
      </c>
      <c r="P47" s="37">
        <f t="shared" si="11"/>
        <v>376.42257103035303</v>
      </c>
      <c r="Q47" s="37">
        <f t="shared" si="12"/>
        <v>373.10212473827664</v>
      </c>
      <c r="R47" s="37">
        <f t="shared" si="13"/>
        <v>404.13649963830613</v>
      </c>
    </row>
    <row r="48" spans="3:20">
      <c r="C48" s="33" t="s">
        <v>30</v>
      </c>
      <c r="D48" s="40">
        <v>24</v>
      </c>
      <c r="E48" s="5">
        <f t="shared" si="14"/>
        <v>380.99108445529771</v>
      </c>
      <c r="F48" s="5">
        <f t="shared" si="15"/>
        <v>382.23339490106503</v>
      </c>
      <c r="G48" s="5">
        <f t="shared" si="16"/>
        <v>375.8889576453056</v>
      </c>
      <c r="H48" s="5">
        <f t="shared" si="17"/>
        <v>439.83081899367517</v>
      </c>
      <c r="I48" s="5">
        <f t="shared" si="0"/>
        <v>3.1763131805916558</v>
      </c>
      <c r="J48" s="5">
        <f t="shared" si="6"/>
        <v>380.78241208103742</v>
      </c>
      <c r="K48" s="5">
        <f t="shared" si="7"/>
        <v>1.917835836201227E-2</v>
      </c>
      <c r="L48" s="5">
        <f t="shared" si="8"/>
        <v>3.195491538953668</v>
      </c>
      <c r="M48" s="37">
        <f t="shared" si="1"/>
        <v>381.93025092352269</v>
      </c>
      <c r="N48" s="37">
        <f t="shared" si="9"/>
        <v>383.08154983655345</v>
      </c>
      <c r="O48" s="37">
        <f t="shared" si="10"/>
        <v>380.88673397777785</v>
      </c>
      <c r="P48" s="37">
        <f t="shared" si="11"/>
        <v>381.50721367800014</v>
      </c>
      <c r="Q48" s="37">
        <f t="shared" si="12"/>
        <v>378.32777318987087</v>
      </c>
      <c r="R48" s="37">
        <f t="shared" si="13"/>
        <v>409.24300869286674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8C17-47E7-47F9-89BB-E55C4D78EF02}">
  <dimension ref="B1:R41"/>
  <sheetViews>
    <sheetView topLeftCell="L1" workbookViewId="0">
      <selection activeCell="AA19" sqref="AA19"/>
    </sheetView>
  </sheetViews>
  <sheetFormatPr defaultRowHeight="18.75"/>
  <cols>
    <col min="1" max="1" width="2.625" customWidth="1"/>
    <col min="2" max="2" width="2.875" customWidth="1"/>
    <col min="3" max="3" width="1.5" customWidth="1"/>
    <col min="5" max="5" width="6" customWidth="1"/>
    <col min="6" max="6" width="5.625" customWidth="1"/>
    <col min="7" max="7" width="8.375" customWidth="1"/>
    <col min="8" max="8" width="9.125" customWidth="1"/>
    <col min="9" max="9" width="7.875" customWidth="1"/>
    <col min="10" max="10" width="8" style="33" customWidth="1"/>
    <col min="13" max="13" width="11.25" bestFit="1" customWidth="1"/>
    <col min="14" max="15" width="11.25" customWidth="1"/>
    <col min="17" max="17" width="12" style="33" customWidth="1"/>
    <col min="18" max="18" width="11.625" bestFit="1" customWidth="1"/>
    <col min="19" max="19" width="14.75" bestFit="1" customWidth="1"/>
    <col min="20" max="20" width="13.75" customWidth="1"/>
  </cols>
  <sheetData>
    <row r="1" spans="2:18">
      <c r="B1" s="13" t="s">
        <v>119</v>
      </c>
    </row>
    <row r="2" spans="2:18" s="13" customFormat="1">
      <c r="B2" s="13">
        <v>1</v>
      </c>
      <c r="D2" s="36" t="s">
        <v>8</v>
      </c>
      <c r="E2" s="52" t="s">
        <v>118</v>
      </c>
      <c r="F2" s="52" t="s">
        <v>115</v>
      </c>
      <c r="G2" s="43" t="s">
        <v>125</v>
      </c>
      <c r="H2" s="36" t="s">
        <v>117</v>
      </c>
      <c r="I2" s="36" t="s">
        <v>120</v>
      </c>
      <c r="J2" s="36" t="s">
        <v>121</v>
      </c>
      <c r="K2" s="36" t="s">
        <v>122</v>
      </c>
      <c r="L2" s="36" t="s">
        <v>123</v>
      </c>
      <c r="M2" s="53" t="s">
        <v>124</v>
      </c>
      <c r="N2" s="53" t="s">
        <v>122</v>
      </c>
      <c r="O2" s="53" t="s">
        <v>126</v>
      </c>
      <c r="P2" s="53" t="s">
        <v>127</v>
      </c>
      <c r="Q2" s="53" t="s">
        <v>128</v>
      </c>
      <c r="R2" s="53" t="s">
        <v>129</v>
      </c>
    </row>
    <row r="3" spans="2:18">
      <c r="C3" s="33"/>
      <c r="D3" s="40">
        <v>2</v>
      </c>
      <c r="E3" s="5">
        <f>D3*$B$2</f>
        <v>2</v>
      </c>
      <c r="F3" s="5">
        <f>E3-2*$B$2</f>
        <v>0</v>
      </c>
      <c r="G3" s="5">
        <f>LN(D3/2+SQRT((D3/2)^2-1))/PI()</f>
        <v>0</v>
      </c>
      <c r="H3" s="5">
        <f>$B$2*EXP(PI()*G3)</f>
        <v>1</v>
      </c>
      <c r="I3" s="37">
        <f t="shared" ref="I3:I9" si="0">($B$2+E3+H3)/2</f>
        <v>2</v>
      </c>
      <c r="J3" s="37">
        <f>SQRT(I3*(I3-$B$2)*(I3-E3)*(I3-H3))</f>
        <v>0</v>
      </c>
      <c r="K3" s="37">
        <f>2*J3/E3</f>
        <v>0</v>
      </c>
      <c r="L3" s="37">
        <f>ASIN(K3/$B$2)</f>
        <v>0</v>
      </c>
      <c r="M3" s="5">
        <f>$B$2*COS(L3)</f>
        <v>1</v>
      </c>
      <c r="N3" s="5">
        <f>K3</f>
        <v>0</v>
      </c>
      <c r="O3" s="5">
        <f>(E3-H3)/$B$2</f>
        <v>1</v>
      </c>
      <c r="P3" s="54">
        <f>1-(2/PI())*ATAN(D3-2)</f>
        <v>1</v>
      </c>
      <c r="Q3" s="54">
        <f>(1/PI())*LN(D3-P3)</f>
        <v>0</v>
      </c>
      <c r="R3" s="5">
        <f t="shared" ref="R3:R41" si="1">D3/2-SQRT((D3/2)^2-1)</f>
        <v>1</v>
      </c>
    </row>
    <row r="4" spans="2:18">
      <c r="C4" s="33"/>
      <c r="D4" s="40">
        <v>2.0009999999999999</v>
      </c>
      <c r="E4" s="5">
        <f>D4*$B$2</f>
        <v>2.0009999999999999</v>
      </c>
      <c r="F4" s="5">
        <f>E4-2*$B$2</f>
        <v>9.9999999999988987E-4</v>
      </c>
      <c r="G4" s="5">
        <f>LN(D4/2+SQRT((D4/2)^2-1))/PI()</f>
        <v>1.006542305797279E-2</v>
      </c>
      <c r="H4" s="5">
        <f>$B$2*EXP(PI()*G4)</f>
        <v>1.0321267292017358</v>
      </c>
      <c r="I4" s="37">
        <f t="shared" si="0"/>
        <v>2.0165633646008678</v>
      </c>
      <c r="J4" s="37">
        <f>SQRT(I4*(I4-$B$2)*(I4-E4)*(I4-H4))</f>
        <v>0.17722247330095145</v>
      </c>
      <c r="K4" s="37">
        <f>2*J4/E4</f>
        <v>0.17713390634777756</v>
      </c>
      <c r="L4" s="37">
        <f>ASIN(K4/$B$2)</f>
        <v>0.17807353947317012</v>
      </c>
      <c r="M4" s="5">
        <f>$B$2*COS(L4)</f>
        <v>0.9841867603366633</v>
      </c>
      <c r="N4" s="5">
        <f>K4</f>
        <v>0.17713390634777756</v>
      </c>
      <c r="O4" s="5">
        <f t="shared" ref="O4:O41" si="2">(E4-H4)/$B$2</f>
        <v>0.96887327079826413</v>
      </c>
      <c r="P4" s="54">
        <f t="shared" ref="P4:P41" si="3">1-(2/PI())*ATAN(D4-2)</f>
        <v>0.99936338043983897</v>
      </c>
      <c r="Q4" s="54">
        <f t="shared" ref="Q4:Q41" si="4">(1/PI())*LN(D4-P4)</f>
        <v>5.2052635020968666E-4</v>
      </c>
      <c r="R4" s="5">
        <f t="shared" si="1"/>
        <v>0.96887327079826424</v>
      </c>
    </row>
    <row r="5" spans="2:18">
      <c r="C5" s="33"/>
      <c r="D5" s="40">
        <v>2.0099999999999998</v>
      </c>
      <c r="E5" s="5">
        <f>D5*$B$2</f>
        <v>2.0099999999999998</v>
      </c>
      <c r="F5" s="5">
        <f>E5-2*$B$2</f>
        <v>9.9999999999997868E-3</v>
      </c>
      <c r="G5" s="5">
        <f>LN(D5/2+SQRT((D5/2)^2-1))/PI()</f>
        <v>3.181774060506444E-2</v>
      </c>
      <c r="H5" s="5">
        <f>$B$2*EXP(PI()*G5)</f>
        <v>1.1051249219725026</v>
      </c>
      <c r="I5" s="37">
        <f t="shared" si="0"/>
        <v>2.0575624609862513</v>
      </c>
      <c r="J5" s="37">
        <f>SQRT(I5*(I5-$B$2)*(I5-E5)*(I5-H5))</f>
        <v>0.31396406135433647</v>
      </c>
      <c r="K5" s="37">
        <f>2*J5/E5</f>
        <v>0.31240205109884228</v>
      </c>
      <c r="L5" s="37">
        <f>ASIN(K5/$B$2)</f>
        <v>0.31772059264366542</v>
      </c>
      <c r="M5" s="5">
        <f>$B$2*COS(L5)</f>
        <v>0.94994997682469384</v>
      </c>
      <c r="N5" s="5">
        <f>K5</f>
        <v>0.31240205109884228</v>
      </c>
      <c r="O5" s="5">
        <f t="shared" si="2"/>
        <v>0.90487507802749723</v>
      </c>
      <c r="P5" s="54">
        <f t="shared" si="3"/>
        <v>0.99363401447018362</v>
      </c>
      <c r="Q5" s="54">
        <f t="shared" si="4"/>
        <v>5.1672855331979404E-3</v>
      </c>
      <c r="R5" s="5">
        <f t="shared" si="1"/>
        <v>0.90487507802749734</v>
      </c>
    </row>
    <row r="6" spans="2:18">
      <c r="C6" s="33"/>
      <c r="D6" s="40">
        <v>2.04</v>
      </c>
      <c r="E6" s="5">
        <f>D6*$B$2</f>
        <v>2.04</v>
      </c>
      <c r="F6" s="5">
        <f>E6-2*$B$2</f>
        <v>4.0000000000000036E-2</v>
      </c>
      <c r="G6" s="5">
        <f>LN(D6/2+SQRT((D6/2)^2-1))/PI()</f>
        <v>6.3556348583340652E-2</v>
      </c>
      <c r="H6" s="5">
        <f>$B$2*EXP(PI()*G6)</f>
        <v>1.2209975124224177</v>
      </c>
      <c r="I6" s="37">
        <f t="shared" si="0"/>
        <v>2.130498756211209</v>
      </c>
      <c r="J6" s="37">
        <f>SQRT(I6*(I6-$B$2)*(I6-E6)*(I6-H6))</f>
        <v>0.44524457932333983</v>
      </c>
      <c r="K6" s="37">
        <f>2*J6/E6</f>
        <v>0.43651429345425474</v>
      </c>
      <c r="L6" s="37">
        <f>ASIN(K6/$B$2)</f>
        <v>0.45172070522759089</v>
      </c>
      <c r="M6" s="5">
        <f>$B$2*COS(L6)</f>
        <v>0.89969732222016352</v>
      </c>
      <c r="N6" s="5">
        <f>K6</f>
        <v>0.43651429345425474</v>
      </c>
      <c r="O6" s="5">
        <f t="shared" si="2"/>
        <v>0.81900248757758232</v>
      </c>
      <c r="P6" s="54">
        <f t="shared" si="3"/>
        <v>0.97454877730401634</v>
      </c>
      <c r="Q6" s="54">
        <f t="shared" si="4"/>
        <v>2.0180335169532725E-2</v>
      </c>
      <c r="R6" s="5">
        <f t="shared" si="1"/>
        <v>0.81900248757758221</v>
      </c>
    </row>
    <row r="7" spans="2:18">
      <c r="C7" s="33"/>
      <c r="D7" s="40">
        <v>2.1</v>
      </c>
      <c r="E7" s="5">
        <f t="shared" ref="E7:E41" si="5">D7*$B$2</f>
        <v>2.1</v>
      </c>
      <c r="F7" s="5">
        <f t="shared" ref="F7:F41" si="6">E7-2*$B$2</f>
        <v>0.10000000000000009</v>
      </c>
      <c r="G7" s="5">
        <f t="shared" ref="G7:G41" si="7">LN(D7/2+SQRT((D7/2)^2-1))/PI()</f>
        <v>0.10024366343102883</v>
      </c>
      <c r="H7" s="5">
        <f t="shared" ref="H7:H41" si="8">$B$2*EXP(PI()*G7)</f>
        <v>1.3701562118716426</v>
      </c>
      <c r="I7" s="37">
        <f t="shared" si="0"/>
        <v>2.2350781059358216</v>
      </c>
      <c r="J7" s="37">
        <f t="shared" ref="J7" si="9">SQRT(I7*(I7-$B$2)*(I7-E7)*(I7-H7))</f>
        <v>0.56790342807256255</v>
      </c>
      <c r="K7" s="37">
        <f t="shared" ref="K7:K41" si="10">2*J7/E7</f>
        <v>0.5408604076881548</v>
      </c>
      <c r="L7" s="37">
        <f t="shared" ref="L7:L41" si="11">ASIN(K7/$B$2)</f>
        <v>0.57145971360169978</v>
      </c>
      <c r="M7" s="5">
        <f t="shared" ref="M7:M41" si="12">$B$2*COS(L7)</f>
        <v>0.84111237025465446</v>
      </c>
      <c r="N7" s="5">
        <f t="shared" ref="N7:N41" si="13">K7</f>
        <v>0.5408604076881548</v>
      </c>
      <c r="O7" s="5">
        <f t="shared" si="2"/>
        <v>0.72984378812835748</v>
      </c>
      <c r="P7" s="54">
        <f t="shared" si="3"/>
        <v>0.93654896513889274</v>
      </c>
      <c r="Q7" s="54">
        <f t="shared" si="4"/>
        <v>4.8189130552509396E-2</v>
      </c>
      <c r="R7" s="5">
        <f t="shared" si="1"/>
        <v>0.72984378812835748</v>
      </c>
    </row>
    <row r="8" spans="2:18">
      <c r="C8" s="33"/>
      <c r="D8" s="40">
        <v>2.2000000000000002</v>
      </c>
      <c r="E8" s="5">
        <f t="shared" si="5"/>
        <v>2.2000000000000002</v>
      </c>
      <c r="F8" s="5">
        <f t="shared" si="6"/>
        <v>0.20000000000000018</v>
      </c>
      <c r="G8" s="5">
        <f t="shared" si="7"/>
        <v>0.14119216056806877</v>
      </c>
      <c r="H8" s="5">
        <f t="shared" si="8"/>
        <v>1.5582575694955842</v>
      </c>
      <c r="I8" s="37">
        <f t="shared" si="0"/>
        <v>2.3791287847477922</v>
      </c>
      <c r="J8" s="37">
        <f>SQRT(I8*(I8-$B$2)*(I8-E8)*(I8-H8))</f>
        <v>0.69459490044333227</v>
      </c>
      <c r="K8" s="37">
        <f t="shared" si="10"/>
        <v>0.63144990949393842</v>
      </c>
      <c r="L8" s="37">
        <f t="shared" si="11"/>
        <v>0.68342163688034818</v>
      </c>
      <c r="M8" s="5">
        <f t="shared" si="12"/>
        <v>0.77541666979766233</v>
      </c>
      <c r="N8" s="5">
        <f t="shared" si="13"/>
        <v>0.63144990949393842</v>
      </c>
      <c r="O8" s="5">
        <f t="shared" si="2"/>
        <v>0.64174243050441593</v>
      </c>
      <c r="P8" s="54">
        <f t="shared" si="3"/>
        <v>0.87433408362199749</v>
      </c>
      <c r="Q8" s="54">
        <f t="shared" si="4"/>
        <v>8.9736303420597421E-2</v>
      </c>
      <c r="R8" s="5">
        <f t="shared" si="1"/>
        <v>0.64174243050441593</v>
      </c>
    </row>
    <row r="9" spans="2:18">
      <c r="C9" s="33"/>
      <c r="D9" s="40">
        <v>2.2999999999999998</v>
      </c>
      <c r="E9" s="5">
        <f t="shared" si="5"/>
        <v>2.2999999999999998</v>
      </c>
      <c r="F9" s="5">
        <f t="shared" si="6"/>
        <v>0.29999999999999982</v>
      </c>
      <c r="G9" s="5">
        <f t="shared" si="7"/>
        <v>0.17223661341683821</v>
      </c>
      <c r="H9" s="5">
        <f t="shared" si="8"/>
        <v>1.717890834580027</v>
      </c>
      <c r="I9" s="37">
        <f t="shared" si="0"/>
        <v>2.5089454172900134</v>
      </c>
      <c r="J9" s="37">
        <f t="shared" ref="J9:J41" si="14">SQRT(I9*(I9-$B$2)*(I9-E9)*(I9-H9))</f>
        <v>0.79104651658702407</v>
      </c>
      <c r="K9" s="37">
        <f t="shared" si="10"/>
        <v>0.68786653616262972</v>
      </c>
      <c r="L9" s="37">
        <f t="shared" si="11"/>
        <v>0.75854562866341535</v>
      </c>
      <c r="M9" s="5">
        <f t="shared" si="12"/>
        <v>0.72583719140563863</v>
      </c>
      <c r="N9" s="5">
        <f t="shared" si="13"/>
        <v>0.68786653616262972</v>
      </c>
      <c r="O9" s="5">
        <f t="shared" si="2"/>
        <v>0.58210916541997282</v>
      </c>
      <c r="P9" s="54">
        <f t="shared" si="3"/>
        <v>0.81445284184451539</v>
      </c>
      <c r="Q9" s="54">
        <f t="shared" si="4"/>
        <v>0.12598169295095754</v>
      </c>
      <c r="R9" s="5">
        <f t="shared" si="1"/>
        <v>0.58210916541997271</v>
      </c>
    </row>
    <row r="10" spans="2:18">
      <c r="C10" s="33"/>
      <c r="D10" s="40">
        <v>2.4</v>
      </c>
      <c r="E10" s="5">
        <f t="shared" si="5"/>
        <v>2.4</v>
      </c>
      <c r="F10" s="5">
        <f t="shared" si="6"/>
        <v>0.39999999999999991</v>
      </c>
      <c r="G10" s="5">
        <f t="shared" si="7"/>
        <v>0.19810413772251015</v>
      </c>
      <c r="H10" s="5">
        <f t="shared" si="8"/>
        <v>1.8633249580710798</v>
      </c>
      <c r="I10" s="37">
        <f t="shared" ref="I10:I41" si="15">($B$2+E10+H10)/2</f>
        <v>2.6316624790355396</v>
      </c>
      <c r="J10" s="37">
        <f t="shared" si="14"/>
        <v>0.87424695516544959</v>
      </c>
      <c r="K10" s="37">
        <f t="shared" si="10"/>
        <v>0.72853912930454134</v>
      </c>
      <c r="L10" s="37">
        <f t="shared" si="11"/>
        <v>0.81618687997807149</v>
      </c>
      <c r="M10" s="5">
        <f t="shared" si="12"/>
        <v>0.68500418763112736</v>
      </c>
      <c r="N10" s="5">
        <f t="shared" si="13"/>
        <v>0.72853912930454134</v>
      </c>
      <c r="O10" s="5">
        <f t="shared" si="2"/>
        <v>0.53667504192892013</v>
      </c>
      <c r="P10" s="54">
        <f t="shared" si="3"/>
        <v>0.75776211681831329</v>
      </c>
      <c r="Q10" s="54">
        <f t="shared" si="4"/>
        <v>0.15790076221850421</v>
      </c>
      <c r="R10" s="5">
        <f t="shared" si="1"/>
        <v>0.53667504192892002</v>
      </c>
    </row>
    <row r="11" spans="2:18">
      <c r="C11" s="33"/>
      <c r="D11" s="40">
        <v>2.5184630000000001</v>
      </c>
      <c r="E11" s="5">
        <f t="shared" si="5"/>
        <v>2.5184630000000001</v>
      </c>
      <c r="F11" s="5">
        <f t="shared" si="6"/>
        <v>0.51846300000000012</v>
      </c>
      <c r="G11" s="5">
        <f t="shared" si="7"/>
        <v>0.22451409228044547</v>
      </c>
      <c r="H11" s="5">
        <f t="shared" si="8"/>
        <v>2.0245183551022228</v>
      </c>
      <c r="I11" s="37">
        <f t="shared" si="15"/>
        <v>2.7714906775511112</v>
      </c>
      <c r="J11" s="37">
        <f t="shared" si="14"/>
        <v>0.96330189892053986</v>
      </c>
      <c r="K11" s="37">
        <f t="shared" si="10"/>
        <v>0.76499190094953928</v>
      </c>
      <c r="L11" s="37">
        <f t="shared" si="11"/>
        <v>0.87102875494587861</v>
      </c>
      <c r="M11" s="5">
        <f t="shared" si="12"/>
        <v>0.64403989898267189</v>
      </c>
      <c r="N11" s="5">
        <f t="shared" si="13"/>
        <v>0.76499190094953928</v>
      </c>
      <c r="O11" s="5">
        <f t="shared" si="2"/>
        <v>0.49394464489777734</v>
      </c>
      <c r="P11" s="54">
        <f t="shared" si="3"/>
        <v>0.69549923969625038</v>
      </c>
      <c r="Q11" s="54">
        <f t="shared" si="4"/>
        <v>0.19113350537652346</v>
      </c>
      <c r="R11" s="5">
        <f t="shared" si="1"/>
        <v>0.49394464489777756</v>
      </c>
    </row>
    <row r="12" spans="2:18">
      <c r="C12" s="33"/>
      <c r="D12" s="40">
        <v>2.6</v>
      </c>
      <c r="E12" s="5">
        <f t="shared" si="5"/>
        <v>2.6</v>
      </c>
      <c r="F12" s="5">
        <f t="shared" si="6"/>
        <v>0.60000000000000009</v>
      </c>
      <c r="G12" s="5">
        <f t="shared" si="7"/>
        <v>0.2407800737605523</v>
      </c>
      <c r="H12" s="5">
        <f t="shared" si="8"/>
        <v>2.1306623862918075</v>
      </c>
      <c r="I12" s="37">
        <f t="shared" si="15"/>
        <v>2.865331193145904</v>
      </c>
      <c r="J12" s="37">
        <f t="shared" si="14"/>
        <v>1.0207169942894194</v>
      </c>
      <c r="K12" s="37">
        <f t="shared" si="10"/>
        <v>0.78516691868416877</v>
      </c>
      <c r="L12" s="37">
        <f t="shared" si="11"/>
        <v>0.90296561587253499</v>
      </c>
      <c r="M12" s="5">
        <f t="shared" si="12"/>
        <v>0.61928419146948022</v>
      </c>
      <c r="N12" s="5">
        <f t="shared" si="13"/>
        <v>0.78516691868416877</v>
      </c>
      <c r="O12" s="5">
        <f t="shared" si="2"/>
        <v>0.4693376137081926</v>
      </c>
      <c r="P12" s="54">
        <f t="shared" si="3"/>
        <v>0.65595826075473851</v>
      </c>
      <c r="Q12" s="54">
        <f t="shared" si="4"/>
        <v>0.21160260094615355</v>
      </c>
      <c r="R12" s="5">
        <f t="shared" si="1"/>
        <v>0.46933761370819249</v>
      </c>
    </row>
    <row r="13" spans="2:18">
      <c r="C13" s="33"/>
      <c r="D13" s="40">
        <v>2.7</v>
      </c>
      <c r="E13" s="5">
        <f t="shared" si="5"/>
        <v>2.7</v>
      </c>
      <c r="F13" s="5">
        <f t="shared" si="6"/>
        <v>0.70000000000000018</v>
      </c>
      <c r="G13" s="5">
        <f t="shared" si="7"/>
        <v>0.2591042799998366</v>
      </c>
      <c r="H13" s="5">
        <f t="shared" si="8"/>
        <v>2.256917857360853</v>
      </c>
      <c r="I13" s="37">
        <f t="shared" si="15"/>
        <v>2.9784589286804266</v>
      </c>
      <c r="J13" s="37">
        <f t="shared" si="14"/>
        <v>1.0881040576942447</v>
      </c>
      <c r="K13" s="37">
        <f t="shared" si="10"/>
        <v>0.8060030056994405</v>
      </c>
      <c r="L13" s="37">
        <f t="shared" si="11"/>
        <v>0.93736803840272243</v>
      </c>
      <c r="M13" s="5">
        <f t="shared" si="12"/>
        <v>0.59191144168994381</v>
      </c>
      <c r="N13" s="5">
        <f t="shared" si="13"/>
        <v>0.8060030056994405</v>
      </c>
      <c r="O13" s="5">
        <f t="shared" si="2"/>
        <v>0.44308214263914714</v>
      </c>
      <c r="P13" s="54">
        <f t="shared" si="3"/>
        <v>0.61119977557157035</v>
      </c>
      <c r="Q13" s="54">
        <f t="shared" si="4"/>
        <v>0.2344638299955322</v>
      </c>
      <c r="R13" s="5">
        <f t="shared" si="1"/>
        <v>0.44308214263914725</v>
      </c>
    </row>
    <row r="14" spans="2:18">
      <c r="C14" s="33"/>
      <c r="D14" s="40">
        <v>2.7371080000000001</v>
      </c>
      <c r="E14" s="5">
        <f t="shared" si="5"/>
        <v>2.7371080000000001</v>
      </c>
      <c r="F14" s="5">
        <f t="shared" si="6"/>
        <v>0.7371080000000001</v>
      </c>
      <c r="G14" s="5">
        <f t="shared" si="7"/>
        <v>0.26551968714715712</v>
      </c>
      <c r="H14" s="5">
        <f t="shared" si="8"/>
        <v>2.3028666087750289</v>
      </c>
      <c r="I14" s="37">
        <f t="shared" si="15"/>
        <v>3.0199873043875147</v>
      </c>
      <c r="J14" s="37">
        <f t="shared" si="14"/>
        <v>1.1124323102825726</v>
      </c>
      <c r="K14" s="37">
        <f t="shared" si="10"/>
        <v>0.81285233193763096</v>
      </c>
      <c r="L14" s="37">
        <f t="shared" si="11"/>
        <v>0.94903247622334885</v>
      </c>
      <c r="M14" s="5">
        <f t="shared" si="12"/>
        <v>0.58246981592487301</v>
      </c>
      <c r="N14" s="5">
        <f t="shared" si="13"/>
        <v>0.81285233193763096</v>
      </c>
      <c r="O14" s="5">
        <f t="shared" si="2"/>
        <v>0.43424139122497118</v>
      </c>
      <c r="P14" s="54">
        <f t="shared" si="3"/>
        <v>0.59561972929613949</v>
      </c>
      <c r="Q14" s="54">
        <f t="shared" si="4"/>
        <v>0.24239330966341543</v>
      </c>
      <c r="R14" s="5">
        <f t="shared" si="1"/>
        <v>0.43424139122497118</v>
      </c>
    </row>
    <row r="15" spans="2:18">
      <c r="C15" s="33"/>
      <c r="D15" s="40">
        <v>2.9</v>
      </c>
      <c r="E15" s="5">
        <f t="shared" si="5"/>
        <v>2.9</v>
      </c>
      <c r="F15" s="5">
        <f t="shared" si="6"/>
        <v>0.89999999999999991</v>
      </c>
      <c r="G15" s="5">
        <f t="shared" si="7"/>
        <v>0.29166439857412457</v>
      </c>
      <c r="H15" s="5">
        <f t="shared" si="8"/>
        <v>2.5</v>
      </c>
      <c r="I15" s="37">
        <f t="shared" si="15"/>
        <v>3.2</v>
      </c>
      <c r="J15" s="37">
        <f t="shared" si="14"/>
        <v>1.2158947322856539</v>
      </c>
      <c r="K15" s="37">
        <f t="shared" si="10"/>
        <v>0.83854809123148544</v>
      </c>
      <c r="L15" s="37">
        <f t="shared" si="11"/>
        <v>0.99461283570041104</v>
      </c>
      <c r="M15" s="5">
        <f t="shared" si="12"/>
        <v>0.54482758620689564</v>
      </c>
      <c r="N15" s="5">
        <f t="shared" si="13"/>
        <v>0.83854809123148544</v>
      </c>
      <c r="O15" s="5">
        <f t="shared" si="2"/>
        <v>0.39999999999999991</v>
      </c>
      <c r="P15" s="54">
        <f t="shared" si="3"/>
        <v>0.53347541671314824</v>
      </c>
      <c r="Q15" s="54">
        <f t="shared" si="4"/>
        <v>0.27419928467229737</v>
      </c>
      <c r="R15" s="5">
        <f t="shared" si="1"/>
        <v>0.39999999999999991</v>
      </c>
    </row>
    <row r="16" spans="2:18">
      <c r="C16" s="33"/>
      <c r="D16" s="40">
        <v>3</v>
      </c>
      <c r="E16" s="5">
        <f t="shared" si="5"/>
        <v>3</v>
      </c>
      <c r="F16" s="5">
        <f t="shared" si="6"/>
        <v>1</v>
      </c>
      <c r="G16" s="5">
        <f t="shared" si="7"/>
        <v>0.30634896253003313</v>
      </c>
      <c r="H16" s="5">
        <f t="shared" si="8"/>
        <v>2.6180339887498945</v>
      </c>
      <c r="I16" s="37">
        <f t="shared" si="15"/>
        <v>3.3090169943749475</v>
      </c>
      <c r="J16" s="37">
        <f t="shared" si="14"/>
        <v>1.2772853430529414</v>
      </c>
      <c r="K16" s="37">
        <f t="shared" si="10"/>
        <v>0.85152356203529422</v>
      </c>
      <c r="L16" s="37">
        <f t="shared" si="11"/>
        <v>1.0188842803607532</v>
      </c>
      <c r="M16" s="5">
        <f t="shared" si="12"/>
        <v>0.52431633895838525</v>
      </c>
      <c r="N16" s="5">
        <f t="shared" si="13"/>
        <v>0.85152356203529422</v>
      </c>
      <c r="O16" s="5">
        <f t="shared" si="2"/>
        <v>0.38196601125010554</v>
      </c>
      <c r="P16" s="54">
        <f t="shared" si="3"/>
        <v>0.5</v>
      </c>
      <c r="Q16" s="54">
        <f t="shared" si="4"/>
        <v>0.29166439857412457</v>
      </c>
      <c r="R16" s="5">
        <f t="shared" si="1"/>
        <v>0.3819660112501051</v>
      </c>
    </row>
    <row r="17" spans="3:18">
      <c r="C17" s="33"/>
      <c r="D17" s="40">
        <v>3.1</v>
      </c>
      <c r="E17" s="5">
        <f t="shared" si="5"/>
        <v>3.1</v>
      </c>
      <c r="F17" s="5">
        <f t="shared" si="6"/>
        <v>1.1000000000000001</v>
      </c>
      <c r="G17" s="5">
        <f t="shared" si="7"/>
        <v>0.32017683574802452</v>
      </c>
      <c r="H17" s="5">
        <f t="shared" si="8"/>
        <v>2.734271928232701</v>
      </c>
      <c r="I17" s="37">
        <f t="shared" si="15"/>
        <v>3.4171359641163503</v>
      </c>
      <c r="J17" s="37">
        <f t="shared" si="14"/>
        <v>1.3374314684327253</v>
      </c>
      <c r="K17" s="37">
        <f t="shared" si="10"/>
        <v>0.86285901189208081</v>
      </c>
      <c r="L17" s="37">
        <f t="shared" si="11"/>
        <v>1.0408990815059407</v>
      </c>
      <c r="M17" s="5">
        <f t="shared" si="12"/>
        <v>0.50544468104494078</v>
      </c>
      <c r="N17" s="5">
        <f t="shared" si="13"/>
        <v>0.86285901189208081</v>
      </c>
      <c r="O17" s="5">
        <f t="shared" si="2"/>
        <v>0.36572807176729905</v>
      </c>
      <c r="P17" s="54">
        <f t="shared" si="3"/>
        <v>0.46970765562326366</v>
      </c>
      <c r="Q17" s="54">
        <f t="shared" si="4"/>
        <v>0.30783589860536403</v>
      </c>
      <c r="R17" s="5">
        <f t="shared" si="1"/>
        <v>0.36572807176729882</v>
      </c>
    </row>
    <row r="18" spans="3:18">
      <c r="C18" s="33"/>
      <c r="D18" s="40">
        <v>3.2</v>
      </c>
      <c r="E18" s="5">
        <f t="shared" si="5"/>
        <v>3.2</v>
      </c>
      <c r="F18" s="5">
        <f t="shared" si="6"/>
        <v>1.2000000000000002</v>
      </c>
      <c r="G18" s="5">
        <f t="shared" si="7"/>
        <v>0.33326023786274556</v>
      </c>
      <c r="H18" s="5">
        <f t="shared" si="8"/>
        <v>2.8489995996796802</v>
      </c>
      <c r="I18" s="37">
        <f t="shared" si="15"/>
        <v>3.5244997998398402</v>
      </c>
      <c r="J18" s="37">
        <f t="shared" si="14"/>
        <v>1.3965496267185527</v>
      </c>
      <c r="K18" s="37">
        <f t="shared" si="10"/>
        <v>0.87284351669909532</v>
      </c>
      <c r="L18" s="37">
        <f t="shared" si="11"/>
        <v>1.0609991773182403</v>
      </c>
      <c r="M18" s="5">
        <f t="shared" si="12"/>
        <v>0.48800020016015994</v>
      </c>
      <c r="N18" s="5">
        <f t="shared" si="13"/>
        <v>0.87284351669909532</v>
      </c>
      <c r="O18" s="5">
        <f t="shared" si="2"/>
        <v>0.35100040032031998</v>
      </c>
      <c r="P18" s="54">
        <f t="shared" si="3"/>
        <v>0.44228412324739097</v>
      </c>
      <c r="Q18" s="54">
        <f t="shared" si="4"/>
        <v>0.3228944258731587</v>
      </c>
      <c r="R18" s="5">
        <f t="shared" si="1"/>
        <v>0.3510004003203202</v>
      </c>
    </row>
    <row r="19" spans="3:18">
      <c r="C19" s="33"/>
      <c r="D19" s="40">
        <v>3.3</v>
      </c>
      <c r="E19" s="5">
        <f t="shared" si="5"/>
        <v>3.3</v>
      </c>
      <c r="F19" s="5">
        <f t="shared" si="6"/>
        <v>1.2999999999999998</v>
      </c>
      <c r="G19" s="5">
        <f t="shared" si="7"/>
        <v>0.3456888060066115</v>
      </c>
      <c r="H19" s="5">
        <f t="shared" si="8"/>
        <v>2.9624404748406685</v>
      </c>
      <c r="I19" s="37">
        <f t="shared" si="15"/>
        <v>3.631220237420334</v>
      </c>
      <c r="J19" s="37">
        <f t="shared" si="14"/>
        <v>1.4548053480673517</v>
      </c>
      <c r="K19" s="37">
        <f t="shared" si="10"/>
        <v>0.88170021094991013</v>
      </c>
      <c r="L19" s="37">
        <f t="shared" si="11"/>
        <v>1.0794537473598844</v>
      </c>
      <c r="M19" s="5">
        <f t="shared" si="12"/>
        <v>0.47181006560996969</v>
      </c>
      <c r="N19" s="5">
        <f t="shared" si="13"/>
        <v>0.88170021094991013</v>
      </c>
      <c r="O19" s="5">
        <f t="shared" si="2"/>
        <v>0.3375595251593313</v>
      </c>
      <c r="P19" s="54">
        <f t="shared" si="3"/>
        <v>0.41742880032030549</v>
      </c>
      <c r="Q19" s="54">
        <f t="shared" si="4"/>
        <v>0.33698916131464429</v>
      </c>
      <c r="R19" s="5">
        <f t="shared" si="1"/>
        <v>0.3375595251593313</v>
      </c>
    </row>
    <row r="20" spans="3:18">
      <c r="C20" s="33"/>
      <c r="D20" s="40">
        <v>3.4</v>
      </c>
      <c r="E20" s="5">
        <f t="shared" si="5"/>
        <v>3.4</v>
      </c>
      <c r="F20" s="5">
        <f t="shared" si="6"/>
        <v>1.4</v>
      </c>
      <c r="G20" s="5">
        <f t="shared" si="7"/>
        <v>0.35753552622546952</v>
      </c>
      <c r="H20" s="5">
        <f t="shared" si="8"/>
        <v>3.0747727084867522</v>
      </c>
      <c r="I20" s="37">
        <f t="shared" si="15"/>
        <v>3.7373863542433763</v>
      </c>
      <c r="J20" s="37">
        <f t="shared" si="14"/>
        <v>1.5123279937273688</v>
      </c>
      <c r="K20" s="37">
        <f t="shared" si="10"/>
        <v>0.88960470219256993</v>
      </c>
      <c r="L20" s="37">
        <f t="shared" si="11"/>
        <v>1.0964789455134403</v>
      </c>
      <c r="M20" s="5">
        <f t="shared" si="12"/>
        <v>0.45673129281544639</v>
      </c>
      <c r="N20" s="5">
        <f t="shared" si="13"/>
        <v>0.88960470219256993</v>
      </c>
      <c r="O20" s="5">
        <f t="shared" si="2"/>
        <v>0.3252272915132477</v>
      </c>
      <c r="P20" s="54">
        <f t="shared" si="3"/>
        <v>0.39486308657749314</v>
      </c>
      <c r="Q20" s="54">
        <f t="shared" si="4"/>
        <v>0.3502437299001856</v>
      </c>
      <c r="R20" s="5">
        <f t="shared" si="1"/>
        <v>0.32522729151324814</v>
      </c>
    </row>
    <row r="21" spans="3:18">
      <c r="C21" s="33"/>
      <c r="D21" s="40">
        <v>4</v>
      </c>
      <c r="E21" s="5">
        <f t="shared" si="5"/>
        <v>4</v>
      </c>
      <c r="F21" s="5">
        <f t="shared" si="6"/>
        <v>2</v>
      </c>
      <c r="G21" s="5">
        <f t="shared" si="7"/>
        <v>0.4192007182789827</v>
      </c>
      <c r="H21" s="5">
        <f t="shared" si="8"/>
        <v>3.7320508075688767</v>
      </c>
      <c r="I21" s="37">
        <f t="shared" si="15"/>
        <v>4.3660254037844384</v>
      </c>
      <c r="J21" s="37">
        <f t="shared" si="14"/>
        <v>1.8466873145837073</v>
      </c>
      <c r="K21" s="37">
        <f t="shared" si="10"/>
        <v>0.92334365729185364</v>
      </c>
      <c r="L21" s="37">
        <f t="shared" si="11"/>
        <v>1.1766992942179826</v>
      </c>
      <c r="M21" s="5">
        <f t="shared" si="12"/>
        <v>0.38397459621556201</v>
      </c>
      <c r="N21" s="5">
        <f t="shared" si="13"/>
        <v>0.92334365729185364</v>
      </c>
      <c r="O21" s="5">
        <f t="shared" si="2"/>
        <v>0.26794919243112325</v>
      </c>
      <c r="P21" s="54">
        <f t="shared" si="3"/>
        <v>0.29516723530086653</v>
      </c>
      <c r="Q21" s="54">
        <f t="shared" si="4"/>
        <v>0.41687076091797104</v>
      </c>
      <c r="R21" s="5">
        <f t="shared" si="1"/>
        <v>0.26794919243112281</v>
      </c>
    </row>
    <row r="22" spans="3:18">
      <c r="C22" s="33"/>
      <c r="D22" s="40">
        <v>5</v>
      </c>
      <c r="E22" s="5">
        <f t="shared" si="5"/>
        <v>5</v>
      </c>
      <c r="F22" s="5">
        <f t="shared" si="6"/>
        <v>3</v>
      </c>
      <c r="G22" s="5">
        <f t="shared" si="7"/>
        <v>0.49872768679353818</v>
      </c>
      <c r="H22" s="5">
        <f t="shared" si="8"/>
        <v>4.7912878474779186</v>
      </c>
      <c r="I22" s="37">
        <f t="shared" si="15"/>
        <v>5.3956439237389588</v>
      </c>
      <c r="J22" s="37">
        <f t="shared" si="14"/>
        <v>2.3813958339109926</v>
      </c>
      <c r="K22" s="37">
        <f t="shared" si="10"/>
        <v>0.95255833356439701</v>
      </c>
      <c r="L22" s="37">
        <f t="shared" si="11"/>
        <v>1.2615339646096937</v>
      </c>
      <c r="M22" s="5">
        <f t="shared" si="12"/>
        <v>0.30435607626104488</v>
      </c>
      <c r="N22" s="5">
        <f t="shared" si="13"/>
        <v>0.95255833356439701</v>
      </c>
      <c r="O22" s="5">
        <f t="shared" si="2"/>
        <v>0.20871215252208142</v>
      </c>
      <c r="P22" s="54">
        <f t="shared" si="3"/>
        <v>0.20483276469913336</v>
      </c>
      <c r="Q22" s="54">
        <f t="shared" si="4"/>
        <v>0.49898531019095232</v>
      </c>
      <c r="R22" s="5">
        <f t="shared" si="1"/>
        <v>0.20871215252208009</v>
      </c>
    </row>
    <row r="23" spans="3:18">
      <c r="C23" s="33"/>
      <c r="D23" s="40">
        <v>6</v>
      </c>
      <c r="E23" s="5">
        <f t="shared" si="5"/>
        <v>6</v>
      </c>
      <c r="F23" s="5">
        <f t="shared" si="6"/>
        <v>4</v>
      </c>
      <c r="G23" s="5">
        <f t="shared" si="7"/>
        <v>0.56109985233918014</v>
      </c>
      <c r="H23" s="5">
        <f t="shared" si="8"/>
        <v>5.8284271247461907</v>
      </c>
      <c r="I23" s="37">
        <f t="shared" si="15"/>
        <v>6.4142135623730958</v>
      </c>
      <c r="J23" s="37">
        <f t="shared" si="14"/>
        <v>2.9028273925937915</v>
      </c>
      <c r="K23" s="37">
        <f t="shared" si="10"/>
        <v>0.96760913086459721</v>
      </c>
      <c r="L23" s="37">
        <f t="shared" si="11"/>
        <v>1.3155816844990191</v>
      </c>
      <c r="M23" s="5">
        <f t="shared" si="12"/>
        <v>0.25245310429356732</v>
      </c>
      <c r="N23" s="5">
        <f t="shared" si="13"/>
        <v>0.96760913086459721</v>
      </c>
      <c r="O23" s="5">
        <f t="shared" si="2"/>
        <v>0.17157287525380926</v>
      </c>
      <c r="P23" s="54">
        <f t="shared" si="3"/>
        <v>0.15595826075473851</v>
      </c>
      <c r="Q23" s="54">
        <f t="shared" si="4"/>
        <v>0.56195147836392834</v>
      </c>
      <c r="R23" s="5">
        <f t="shared" si="1"/>
        <v>0.17157287525380971</v>
      </c>
    </row>
    <row r="24" spans="3:18">
      <c r="C24" s="33"/>
      <c r="D24" s="40">
        <v>7</v>
      </c>
      <c r="E24" s="5">
        <f t="shared" si="5"/>
        <v>7</v>
      </c>
      <c r="F24" s="5">
        <f t="shared" si="6"/>
        <v>5</v>
      </c>
      <c r="G24" s="5">
        <f t="shared" si="7"/>
        <v>0.61269792506006626</v>
      </c>
      <c r="H24" s="5">
        <f t="shared" si="8"/>
        <v>6.8541019662496838</v>
      </c>
      <c r="I24" s="37">
        <f t="shared" si="15"/>
        <v>7.4270509831248415</v>
      </c>
      <c r="J24" s="37">
        <f t="shared" si="14"/>
        <v>3.4175267873733679</v>
      </c>
      <c r="K24" s="37">
        <f t="shared" si="10"/>
        <v>0.97643622496381943</v>
      </c>
      <c r="L24" s="37">
        <f t="shared" si="11"/>
        <v>1.3532789578489317</v>
      </c>
      <c r="M24" s="5">
        <f t="shared" si="12"/>
        <v>0.21580615973230563</v>
      </c>
      <c r="N24" s="5">
        <f t="shared" si="13"/>
        <v>0.97643622496381943</v>
      </c>
      <c r="O24" s="5">
        <f t="shared" si="2"/>
        <v>0.14589803375031618</v>
      </c>
      <c r="P24" s="54">
        <f t="shared" si="3"/>
        <v>0.12566591637800228</v>
      </c>
      <c r="Q24" s="54">
        <f t="shared" si="4"/>
        <v>0.61363613646551152</v>
      </c>
      <c r="R24" s="5">
        <f t="shared" si="1"/>
        <v>0.14589803375031529</v>
      </c>
    </row>
    <row r="25" spans="3:18">
      <c r="C25" s="33"/>
      <c r="D25" s="40">
        <v>8</v>
      </c>
      <c r="E25" s="5">
        <f t="shared" si="5"/>
        <v>8</v>
      </c>
      <c r="F25" s="5">
        <f t="shared" si="6"/>
        <v>6</v>
      </c>
      <c r="G25" s="5">
        <f t="shared" si="7"/>
        <v>0.65681241854756056</v>
      </c>
      <c r="H25" s="5">
        <f t="shared" si="8"/>
        <v>7.8729833462074188</v>
      </c>
      <c r="I25" s="37">
        <f t="shared" si="15"/>
        <v>8.4364916731037098</v>
      </c>
      <c r="J25" s="37">
        <f t="shared" si="14"/>
        <v>3.9282863657137082</v>
      </c>
      <c r="K25" s="37">
        <f t="shared" si="10"/>
        <v>0.98207159142842704</v>
      </c>
      <c r="L25" s="37">
        <f t="shared" si="11"/>
        <v>1.3811533069804418</v>
      </c>
      <c r="M25" s="5">
        <f t="shared" si="12"/>
        <v>0.18850832689628513</v>
      </c>
      <c r="N25" s="5">
        <f t="shared" si="13"/>
        <v>0.98207159142842704</v>
      </c>
      <c r="O25" s="5">
        <f t="shared" si="2"/>
        <v>0.1270166537925812</v>
      </c>
      <c r="P25" s="54">
        <f t="shared" si="3"/>
        <v>0.10513691342250675</v>
      </c>
      <c r="Q25" s="54">
        <f t="shared" si="4"/>
        <v>0.65769580388070104</v>
      </c>
      <c r="R25" s="5">
        <f t="shared" si="1"/>
        <v>0.12701665379258298</v>
      </c>
    </row>
    <row r="26" spans="3:18">
      <c r="C26" s="33"/>
      <c r="D26" s="40">
        <v>9</v>
      </c>
      <c r="E26" s="5">
        <f t="shared" si="5"/>
        <v>9</v>
      </c>
      <c r="F26" s="5">
        <f t="shared" si="6"/>
        <v>7</v>
      </c>
      <c r="G26" s="5">
        <f t="shared" si="7"/>
        <v>0.69539371665794714</v>
      </c>
      <c r="H26" s="5">
        <f t="shared" si="8"/>
        <v>8.8874821936960622</v>
      </c>
      <c r="I26" s="37">
        <f t="shared" si="15"/>
        <v>9.4437410968480311</v>
      </c>
      <c r="J26" s="37">
        <f t="shared" si="14"/>
        <v>4.4365236825799679</v>
      </c>
      <c r="K26" s="37">
        <f t="shared" si="10"/>
        <v>0.98589415168443728</v>
      </c>
      <c r="L26" s="37">
        <f t="shared" si="11"/>
        <v>1.4026348798489581</v>
      </c>
      <c r="M26" s="5">
        <f t="shared" si="12"/>
        <v>0.1673700142630804</v>
      </c>
      <c r="N26" s="5">
        <f t="shared" si="13"/>
        <v>0.98589415168443728</v>
      </c>
      <c r="O26" s="5">
        <f t="shared" si="2"/>
        <v>0.11251780630393782</v>
      </c>
      <c r="P26" s="54">
        <f t="shared" si="3"/>
        <v>9.0334470601733052E-2</v>
      </c>
      <c r="Q26" s="54">
        <f t="shared" si="4"/>
        <v>0.69618723467884314</v>
      </c>
      <c r="R26" s="5">
        <f t="shared" si="1"/>
        <v>0.11251780630393871</v>
      </c>
    </row>
    <row r="27" spans="3:18">
      <c r="C27" s="33"/>
      <c r="D27" s="40">
        <v>10</v>
      </c>
      <c r="E27" s="5">
        <f t="shared" si="5"/>
        <v>10</v>
      </c>
      <c r="F27" s="5">
        <f t="shared" si="6"/>
        <v>8</v>
      </c>
      <c r="G27" s="5">
        <f t="shared" si="7"/>
        <v>0.7297036638221357</v>
      </c>
      <c r="H27" s="5">
        <f t="shared" si="8"/>
        <v>9.8989794855663558</v>
      </c>
      <c r="I27" s="37">
        <f t="shared" si="15"/>
        <v>10.449489742783179</v>
      </c>
      <c r="J27" s="37">
        <f t="shared" si="14"/>
        <v>4.9430422375105438</v>
      </c>
      <c r="K27" s="37">
        <f t="shared" si="10"/>
        <v>0.98860844750210874</v>
      </c>
      <c r="L27" s="37">
        <f t="shared" si="11"/>
        <v>1.4197119374560176</v>
      </c>
      <c r="M27" s="5">
        <f t="shared" si="12"/>
        <v>0.15051025721680988</v>
      </c>
      <c r="N27" s="5">
        <f t="shared" si="13"/>
        <v>0.98860844750210874</v>
      </c>
      <c r="O27" s="5">
        <f t="shared" si="2"/>
        <v>0.10102051443364424</v>
      </c>
      <c r="P27" s="54">
        <f t="shared" si="3"/>
        <v>7.9166848321131078E-2</v>
      </c>
      <c r="Q27" s="54">
        <f t="shared" si="4"/>
        <v>0.73040561201098508</v>
      </c>
      <c r="R27" s="5">
        <f t="shared" si="1"/>
        <v>0.10102051443364424</v>
      </c>
    </row>
    <row r="28" spans="3:18">
      <c r="C28" s="33"/>
      <c r="D28" s="40">
        <v>11</v>
      </c>
      <c r="E28" s="5">
        <f t="shared" si="5"/>
        <v>11</v>
      </c>
      <c r="F28" s="5">
        <f t="shared" si="6"/>
        <v>9</v>
      </c>
      <c r="G28" s="5">
        <f t="shared" si="7"/>
        <v>0.76060988742247881</v>
      </c>
      <c r="H28" s="5">
        <f t="shared" si="8"/>
        <v>10.908326913195987</v>
      </c>
      <c r="I28" s="37">
        <f t="shared" si="15"/>
        <v>11.454163456597993</v>
      </c>
      <c r="J28" s="37">
        <f t="shared" si="14"/>
        <v>5.4483340667381785</v>
      </c>
      <c r="K28" s="37">
        <f t="shared" si="10"/>
        <v>0.99060619395239613</v>
      </c>
      <c r="L28" s="37">
        <f t="shared" si="11"/>
        <v>1.4336208897335811</v>
      </c>
      <c r="M28" s="5">
        <f t="shared" si="12"/>
        <v>0.1367456343111097</v>
      </c>
      <c r="N28" s="5">
        <f t="shared" si="13"/>
        <v>0.99060619395239613</v>
      </c>
      <c r="O28" s="5">
        <f t="shared" si="2"/>
        <v>9.1673086804012982E-2</v>
      </c>
      <c r="P28" s="54">
        <f t="shared" si="3"/>
        <v>7.0446574954554531E-2</v>
      </c>
      <c r="Q28" s="54">
        <f t="shared" si="4"/>
        <v>0.76122868472277472</v>
      </c>
      <c r="R28" s="5">
        <f t="shared" si="1"/>
        <v>9.1673086804015647E-2</v>
      </c>
    </row>
    <row r="29" spans="3:18">
      <c r="C29" s="33"/>
      <c r="D29" s="40">
        <v>12</v>
      </c>
      <c r="E29" s="5">
        <f t="shared" si="5"/>
        <v>12</v>
      </c>
      <c r="F29" s="5">
        <f t="shared" si="6"/>
        <v>10</v>
      </c>
      <c r="G29" s="5">
        <f t="shared" si="7"/>
        <v>0.78873647971422212</v>
      </c>
      <c r="H29" s="5">
        <f t="shared" si="8"/>
        <v>11.916079783099617</v>
      </c>
      <c r="I29" s="37">
        <f t="shared" si="15"/>
        <v>12.458039891549809</v>
      </c>
      <c r="J29" s="37">
        <f t="shared" si="14"/>
        <v>5.95271836424818</v>
      </c>
      <c r="K29" s="37">
        <f t="shared" si="10"/>
        <v>0.99211972737469667</v>
      </c>
      <c r="L29" s="37">
        <f t="shared" si="11"/>
        <v>1.4451727285944134</v>
      </c>
      <c r="M29" s="5">
        <f t="shared" si="12"/>
        <v>0.12529344178350904</v>
      </c>
      <c r="N29" s="5">
        <f t="shared" si="13"/>
        <v>0.99211972737469667</v>
      </c>
      <c r="O29" s="5">
        <f t="shared" si="2"/>
        <v>8.3920216900382982E-2</v>
      </c>
      <c r="P29" s="54">
        <f t="shared" si="3"/>
        <v>6.3451034861107036E-2</v>
      </c>
      <c r="Q29" s="54">
        <f t="shared" si="4"/>
        <v>0.78928279640521426</v>
      </c>
      <c r="R29" s="5">
        <f t="shared" si="1"/>
        <v>8.392021690038387E-2</v>
      </c>
    </row>
    <row r="30" spans="3:18">
      <c r="C30" s="33"/>
      <c r="D30" s="40">
        <v>13</v>
      </c>
      <c r="E30" s="5">
        <f t="shared" si="5"/>
        <v>13</v>
      </c>
      <c r="F30" s="5">
        <f t="shared" si="6"/>
        <v>11</v>
      </c>
      <c r="G30" s="5">
        <f t="shared" si="7"/>
        <v>0.81454830692469071</v>
      </c>
      <c r="H30" s="5">
        <f t="shared" si="8"/>
        <v>12.922616289332563</v>
      </c>
      <c r="I30" s="37">
        <f t="shared" si="15"/>
        <v>13.461308144666281</v>
      </c>
      <c r="J30" s="37">
        <f t="shared" si="14"/>
        <v>6.4564117100219516</v>
      </c>
      <c r="K30" s="37">
        <f t="shared" si="10"/>
        <v>0.99329410923414641</v>
      </c>
      <c r="L30" s="37">
        <f t="shared" si="11"/>
        <v>1.4549222656264116</v>
      </c>
      <c r="M30" s="5">
        <f t="shared" si="12"/>
        <v>0.11561493225679634</v>
      </c>
      <c r="N30" s="5">
        <f t="shared" si="13"/>
        <v>0.99329410923414641</v>
      </c>
      <c r="O30" s="5">
        <f t="shared" si="2"/>
        <v>7.73837106674371E-2</v>
      </c>
      <c r="P30" s="54">
        <f t="shared" si="3"/>
        <v>5.7715876752608919E-2</v>
      </c>
      <c r="Q30" s="54">
        <f t="shared" si="4"/>
        <v>0.81503239672064487</v>
      </c>
      <c r="R30" s="5">
        <f t="shared" si="1"/>
        <v>7.7383710667435324E-2</v>
      </c>
    </row>
    <row r="31" spans="3:18">
      <c r="C31" s="33"/>
      <c r="D31" s="40">
        <v>14</v>
      </c>
      <c r="E31" s="5">
        <f t="shared" si="5"/>
        <v>14</v>
      </c>
      <c r="F31" s="5">
        <f t="shared" si="6"/>
        <v>12</v>
      </c>
      <c r="G31" s="5">
        <f t="shared" si="7"/>
        <v>0.83840143655796551</v>
      </c>
      <c r="H31" s="5">
        <f t="shared" si="8"/>
        <v>13.928203230275512</v>
      </c>
      <c r="I31" s="37">
        <f t="shared" si="15"/>
        <v>14.464101615137757</v>
      </c>
      <c r="J31" s="37">
        <f t="shared" si="14"/>
        <v>6.9595664590701567</v>
      </c>
      <c r="K31" s="37">
        <f t="shared" si="10"/>
        <v>0.99422377986716526</v>
      </c>
      <c r="L31" s="37">
        <f t="shared" si="11"/>
        <v>1.4632622438193605</v>
      </c>
      <c r="M31" s="5">
        <f t="shared" si="12"/>
        <v>0.10732695629079633</v>
      </c>
      <c r="N31" s="5">
        <f t="shared" si="13"/>
        <v>0.99422377986716526</v>
      </c>
      <c r="O31" s="5">
        <f t="shared" si="2"/>
        <v>7.1796769724487675E-2</v>
      </c>
      <c r="P31" s="54">
        <f t="shared" si="3"/>
        <v>5.2929352119179707E-2</v>
      </c>
      <c r="Q31" s="54">
        <f t="shared" si="4"/>
        <v>0.83883233359552678</v>
      </c>
      <c r="R31" s="5">
        <f t="shared" si="1"/>
        <v>7.1796769724491227E-2</v>
      </c>
    </row>
    <row r="32" spans="3:18">
      <c r="C32" s="33"/>
      <c r="D32" s="40">
        <v>15</v>
      </c>
      <c r="E32" s="5">
        <f t="shared" si="5"/>
        <v>15</v>
      </c>
      <c r="F32" s="5">
        <f t="shared" si="6"/>
        <v>13</v>
      </c>
      <c r="G32" s="5">
        <f t="shared" si="7"/>
        <v>0.86057491503302197</v>
      </c>
      <c r="H32" s="5">
        <f t="shared" si="8"/>
        <v>14.93303437365925</v>
      </c>
      <c r="I32" s="37">
        <f t="shared" si="15"/>
        <v>15.466517186829625</v>
      </c>
      <c r="J32" s="37">
        <f t="shared" si="14"/>
        <v>7.4622930185681398</v>
      </c>
      <c r="K32" s="37">
        <f t="shared" si="10"/>
        <v>0.99497240247575192</v>
      </c>
      <c r="L32" s="37">
        <f t="shared" si="11"/>
        <v>1.470478671609726</v>
      </c>
      <c r="M32" s="5">
        <f t="shared" si="12"/>
        <v>0.10014947983704335</v>
      </c>
      <c r="N32" s="5">
        <f t="shared" si="13"/>
        <v>0.99497240247575192</v>
      </c>
      <c r="O32" s="5">
        <f t="shared" si="2"/>
        <v>6.6965626340749651E-2</v>
      </c>
      <c r="P32" s="54">
        <f t="shared" si="3"/>
        <v>4.8874503944394743E-2</v>
      </c>
      <c r="Q32" s="54">
        <f t="shared" si="4"/>
        <v>0.8609603087559502</v>
      </c>
      <c r="R32" s="5">
        <f t="shared" si="1"/>
        <v>6.6965626340746987E-2</v>
      </c>
    </row>
    <row r="33" spans="3:18">
      <c r="C33" s="33"/>
      <c r="D33" s="40">
        <v>16</v>
      </c>
      <c r="E33" s="5">
        <f t="shared" si="5"/>
        <v>16</v>
      </c>
      <c r="F33" s="5">
        <f t="shared" si="6"/>
        <v>14</v>
      </c>
      <c r="G33" s="5">
        <f t="shared" si="7"/>
        <v>0.88129165318422775</v>
      </c>
      <c r="H33" s="5">
        <f t="shared" si="8"/>
        <v>15.937253933193771</v>
      </c>
      <c r="I33" s="37">
        <f t="shared" si="15"/>
        <v>16.468626966596887</v>
      </c>
      <c r="J33" s="37">
        <f t="shared" si="14"/>
        <v>7.9646734164296333</v>
      </c>
      <c r="K33" s="37">
        <f t="shared" si="10"/>
        <v>0.99558417705370417</v>
      </c>
      <c r="L33" s="37">
        <f t="shared" si="11"/>
        <v>1.4767848733004918</v>
      </c>
      <c r="M33" s="5">
        <f t="shared" si="12"/>
        <v>9.3873033403095246E-2</v>
      </c>
      <c r="N33" s="5">
        <f t="shared" si="13"/>
        <v>0.99558417705370417</v>
      </c>
      <c r="O33" s="5">
        <f t="shared" si="2"/>
        <v>6.274606680622874E-2</v>
      </c>
      <c r="P33" s="54">
        <f t="shared" si="3"/>
        <v>4.539574199972074E-2</v>
      </c>
      <c r="Q33" s="54">
        <f t="shared" si="4"/>
        <v>0.88163799740952631</v>
      </c>
      <c r="R33" s="5">
        <f t="shared" si="1"/>
        <v>6.2746066806227851E-2</v>
      </c>
    </row>
    <row r="34" spans="3:18">
      <c r="C34" s="33"/>
      <c r="D34" s="40">
        <v>17</v>
      </c>
      <c r="E34" s="5">
        <f t="shared" si="5"/>
        <v>17</v>
      </c>
      <c r="F34" s="5">
        <f t="shared" si="6"/>
        <v>15</v>
      </c>
      <c r="G34" s="5">
        <f t="shared" si="7"/>
        <v>0.90073263772467327</v>
      </c>
      <c r="H34" s="5">
        <f t="shared" si="8"/>
        <v>16.940971508067065</v>
      </c>
      <c r="I34" s="37">
        <f t="shared" si="15"/>
        <v>17.470485754033533</v>
      </c>
      <c r="J34" s="37">
        <f t="shared" si="14"/>
        <v>8.4667699038729349</v>
      </c>
      <c r="K34" s="37">
        <f t="shared" si="10"/>
        <v>0.9960905769262276</v>
      </c>
      <c r="L34" s="37">
        <f t="shared" si="11"/>
        <v>1.482343254519648</v>
      </c>
      <c r="M34" s="5">
        <f t="shared" si="12"/>
        <v>8.8337775378232467E-2</v>
      </c>
      <c r="N34" s="5">
        <f t="shared" si="13"/>
        <v>0.9960905769262276</v>
      </c>
      <c r="O34" s="5">
        <f t="shared" si="2"/>
        <v>5.9028491932934912E-2</v>
      </c>
      <c r="P34" s="54">
        <f t="shared" si="3"/>
        <v>4.2378609269892786E-2</v>
      </c>
      <c r="Q34" s="54">
        <f t="shared" si="4"/>
        <v>0.90104532460801712</v>
      </c>
      <c r="R34" s="5">
        <f t="shared" si="1"/>
        <v>5.9028491932933136E-2</v>
      </c>
    </row>
    <row r="35" spans="3:18">
      <c r="C35" s="33"/>
      <c r="D35" s="40">
        <v>18</v>
      </c>
      <c r="E35" s="5">
        <f t="shared" si="5"/>
        <v>18</v>
      </c>
      <c r="F35" s="5">
        <f t="shared" si="6"/>
        <v>16</v>
      </c>
      <c r="G35" s="5">
        <f t="shared" si="7"/>
        <v>0.91904688759009934</v>
      </c>
      <c r="H35" s="5">
        <f t="shared" si="8"/>
        <v>17.944271909999156</v>
      </c>
      <c r="I35" s="37">
        <f t="shared" si="15"/>
        <v>18.47213595499958</v>
      </c>
      <c r="J35" s="37">
        <f t="shared" si="14"/>
        <v>8.9686305972366895</v>
      </c>
      <c r="K35" s="37">
        <f t="shared" si="10"/>
        <v>0.9965145108040766</v>
      </c>
      <c r="L35" s="37">
        <f t="shared" si="11"/>
        <v>1.487279671540076</v>
      </c>
      <c r="M35" s="5">
        <f t="shared" si="12"/>
        <v>8.341960055593578E-2</v>
      </c>
      <c r="N35" s="5">
        <f t="shared" si="13"/>
        <v>0.9965145108040766</v>
      </c>
      <c r="O35" s="5">
        <f t="shared" si="2"/>
        <v>5.5728090000844333E-2</v>
      </c>
      <c r="P35" s="54">
        <f t="shared" si="3"/>
        <v>3.9737048611081627E-2</v>
      </c>
      <c r="Q35" s="54">
        <f t="shared" si="4"/>
        <v>0.91933042318920655</v>
      </c>
      <c r="R35" s="5">
        <f t="shared" si="1"/>
        <v>5.572809000084078E-2</v>
      </c>
    </row>
    <row r="36" spans="3:18">
      <c r="C36" s="33"/>
      <c r="D36" s="40">
        <v>19</v>
      </c>
      <c r="E36" s="5">
        <f t="shared" si="5"/>
        <v>19</v>
      </c>
      <c r="F36" s="5">
        <f t="shared" si="6"/>
        <v>17</v>
      </c>
      <c r="G36" s="5">
        <f t="shared" si="7"/>
        <v>0.93635860501833446</v>
      </c>
      <c r="H36" s="5">
        <f t="shared" si="8"/>
        <v>18.947221813845594</v>
      </c>
      <c r="I36" s="37">
        <f t="shared" si="15"/>
        <v>19.473610906922797</v>
      </c>
      <c r="J36" s="37">
        <f t="shared" si="14"/>
        <v>9.4702932868364158</v>
      </c>
      <c r="K36" s="37">
        <f t="shared" si="10"/>
        <v>0.99687297756172799</v>
      </c>
      <c r="L36" s="37">
        <f t="shared" si="11"/>
        <v>1.4916931851358417</v>
      </c>
      <c r="M36" s="5">
        <f t="shared" si="12"/>
        <v>7.9020672024569374E-2</v>
      </c>
      <c r="N36" s="5">
        <f t="shared" si="13"/>
        <v>0.99687297756172799</v>
      </c>
      <c r="O36" s="5">
        <f t="shared" si="2"/>
        <v>5.277818615440566E-2</v>
      </c>
      <c r="P36" s="54">
        <f t="shared" si="3"/>
        <v>3.7405118482553235E-2</v>
      </c>
      <c r="Q36" s="54">
        <f t="shared" si="4"/>
        <v>0.93661676504735669</v>
      </c>
      <c r="R36" s="5">
        <f t="shared" si="1"/>
        <v>5.2778186154407436E-2</v>
      </c>
    </row>
    <row r="37" spans="3:18">
      <c r="C37" s="33"/>
      <c r="D37" s="40">
        <v>20</v>
      </c>
      <c r="E37" s="5">
        <f t="shared" si="5"/>
        <v>20</v>
      </c>
      <c r="F37" s="5">
        <f t="shared" si="6"/>
        <v>18</v>
      </c>
      <c r="G37" s="5">
        <f t="shared" si="7"/>
        <v>0.95277242347321034</v>
      </c>
      <c r="H37" s="5">
        <f t="shared" si="8"/>
        <v>19.949874371066198</v>
      </c>
      <c r="I37" s="37">
        <f t="shared" si="15"/>
        <v>20.474937185533101</v>
      </c>
      <c r="J37" s="37">
        <f t="shared" si="14"/>
        <v>9.9717880737825286</v>
      </c>
      <c r="K37" s="37">
        <f t="shared" si="10"/>
        <v>0.99717880737825282</v>
      </c>
      <c r="L37" s="37">
        <f t="shared" si="11"/>
        <v>1.4956628436875568</v>
      </c>
      <c r="M37" s="5">
        <f t="shared" si="12"/>
        <v>7.5062814466854227E-2</v>
      </c>
      <c r="N37" s="5">
        <f t="shared" si="13"/>
        <v>0.99717880737825282</v>
      </c>
      <c r="O37" s="5">
        <f t="shared" si="2"/>
        <v>5.0125628933802346E-2</v>
      </c>
      <c r="P37" s="54">
        <f t="shared" si="3"/>
        <v>3.5331445776269232E-2</v>
      </c>
      <c r="Q37" s="54">
        <f t="shared" si="4"/>
        <v>0.95300838433497015</v>
      </c>
      <c r="R37" s="5">
        <f t="shared" si="1"/>
        <v>5.012562893380057E-2</v>
      </c>
    </row>
    <row r="38" spans="3:18">
      <c r="C38" s="33"/>
      <c r="D38" s="40">
        <v>21</v>
      </c>
      <c r="E38" s="5">
        <f t="shared" si="5"/>
        <v>21</v>
      </c>
      <c r="F38" s="5">
        <f t="shared" si="6"/>
        <v>19</v>
      </c>
      <c r="G38" s="5">
        <f t="shared" si="7"/>
        <v>0.96837733199339326</v>
      </c>
      <c r="H38" s="5">
        <f t="shared" si="8"/>
        <v>20.952272480183435</v>
      </c>
      <c r="I38" s="37">
        <f t="shared" si="15"/>
        <v>21.476136240091719</v>
      </c>
      <c r="J38" s="37">
        <f t="shared" si="14"/>
        <v>10.473139236023695</v>
      </c>
      <c r="K38" s="37">
        <f t="shared" si="10"/>
        <v>0.99744183200225667</v>
      </c>
      <c r="L38" s="37">
        <f t="shared" si="11"/>
        <v>1.4992525018156924</v>
      </c>
      <c r="M38" s="5">
        <f t="shared" si="12"/>
        <v>7.1482807527278744E-2</v>
      </c>
      <c r="N38" s="5">
        <f t="shared" si="13"/>
        <v>0.99744183200225667</v>
      </c>
      <c r="O38" s="5">
        <f t="shared" si="2"/>
        <v>4.7727519816564978E-2</v>
      </c>
      <c r="P38" s="54">
        <f t="shared" si="3"/>
        <v>3.3475416713148243E-2</v>
      </c>
      <c r="Q38" s="54">
        <f t="shared" si="4"/>
        <v>0.96859377835203586</v>
      </c>
      <c r="R38" s="5">
        <f t="shared" si="1"/>
        <v>4.7727519816563202E-2</v>
      </c>
    </row>
    <row r="39" spans="3:18">
      <c r="C39" s="33"/>
      <c r="D39" s="40">
        <v>22</v>
      </c>
      <c r="E39" s="5">
        <f t="shared" si="5"/>
        <v>22</v>
      </c>
      <c r="F39" s="5">
        <f t="shared" si="6"/>
        <v>20</v>
      </c>
      <c r="G39" s="5">
        <f t="shared" si="7"/>
        <v>0.98324965883624038</v>
      </c>
      <c r="H39" s="5">
        <f t="shared" si="8"/>
        <v>21.954451150103328</v>
      </c>
      <c r="I39" s="37">
        <f t="shared" si="15"/>
        <v>22.477225575051662</v>
      </c>
      <c r="J39" s="37">
        <f t="shared" si="14"/>
        <v>10.974366574856539</v>
      </c>
      <c r="K39" s="37">
        <f t="shared" si="10"/>
        <v>0.99766968862332173</v>
      </c>
      <c r="L39" s="37">
        <f t="shared" si="11"/>
        <v>1.5025143086929573</v>
      </c>
      <c r="M39" s="5">
        <f t="shared" si="12"/>
        <v>6.8228970402932784E-2</v>
      </c>
      <c r="N39" s="5">
        <f t="shared" si="13"/>
        <v>0.99766968862332173</v>
      </c>
      <c r="O39" s="5">
        <f t="shared" si="2"/>
        <v>4.5548849896672294E-2</v>
      </c>
      <c r="P39" s="54">
        <f t="shared" si="3"/>
        <v>3.1804502512352673E-2</v>
      </c>
      <c r="Q39" s="54">
        <f t="shared" si="4"/>
        <v>0.98344887095701594</v>
      </c>
      <c r="R39" s="5">
        <f t="shared" si="1"/>
        <v>4.5548849896677623E-2</v>
      </c>
    </row>
    <row r="40" spans="3:18">
      <c r="C40" s="33"/>
      <c r="D40" s="40">
        <v>23</v>
      </c>
      <c r="E40" s="5">
        <f t="shared" si="5"/>
        <v>23</v>
      </c>
      <c r="F40" s="5">
        <f t="shared" si="6"/>
        <v>21</v>
      </c>
      <c r="G40" s="5">
        <f t="shared" si="7"/>
        <v>0.99745537358707648</v>
      </c>
      <c r="H40" s="5">
        <f t="shared" si="8"/>
        <v>22.956439237389599</v>
      </c>
      <c r="I40" s="37">
        <f t="shared" si="15"/>
        <v>23.478219618694801</v>
      </c>
      <c r="J40" s="37">
        <f t="shared" si="14"/>
        <v>11.475486403523169</v>
      </c>
      <c r="K40" s="37">
        <f t="shared" si="10"/>
        <v>0.99786838291505819</v>
      </c>
      <c r="L40" s="37">
        <f t="shared" si="11"/>
        <v>1.5054912762356136</v>
      </c>
      <c r="M40" s="5">
        <f t="shared" si="12"/>
        <v>6.52586421747096E-2</v>
      </c>
      <c r="N40" s="5">
        <f t="shared" si="13"/>
        <v>0.99786838291505819</v>
      </c>
      <c r="O40" s="5">
        <f t="shared" si="2"/>
        <v>4.3560762610400872E-2</v>
      </c>
      <c r="P40" s="54">
        <f t="shared" si="3"/>
        <v>3.0292344376736224E-2</v>
      </c>
      <c r="Q40" s="54">
        <f t="shared" si="4"/>
        <v>0.99763929795700657</v>
      </c>
      <c r="R40" s="5">
        <f t="shared" si="1"/>
        <v>4.3560762610400872E-2</v>
      </c>
    </row>
    <row r="41" spans="3:18">
      <c r="C41" s="33"/>
      <c r="D41" s="40">
        <v>24</v>
      </c>
      <c r="E41" s="5">
        <f t="shared" si="5"/>
        <v>24</v>
      </c>
      <c r="F41" s="5">
        <f t="shared" si="6"/>
        <v>22</v>
      </c>
      <c r="G41" s="5">
        <f t="shared" si="7"/>
        <v>1.0110518869982041</v>
      </c>
      <c r="H41" s="5">
        <f t="shared" si="8"/>
        <v>23.958260743101398</v>
      </c>
      <c r="I41" s="37">
        <f t="shared" si="15"/>
        <v>24.479130371550699</v>
      </c>
      <c r="J41" s="37">
        <f t="shared" si="14"/>
        <v>11.976512284392994</v>
      </c>
      <c r="K41" s="37">
        <f t="shared" si="10"/>
        <v>0.99804269036608284</v>
      </c>
      <c r="L41" s="37">
        <f t="shared" si="11"/>
        <v>1.5082191987437621</v>
      </c>
      <c r="M41" s="5">
        <f t="shared" si="12"/>
        <v>6.2536295115966839E-2</v>
      </c>
      <c r="N41" s="5">
        <f t="shared" si="13"/>
        <v>0.99804269036608284</v>
      </c>
      <c r="O41" s="5">
        <f t="shared" si="2"/>
        <v>4.1739256898601695E-2</v>
      </c>
      <c r="P41" s="54">
        <f t="shared" si="3"/>
        <v>2.8917357805553379E-2</v>
      </c>
      <c r="Q41" s="54">
        <f t="shared" si="4"/>
        <v>1.0112221934138594</v>
      </c>
      <c r="R41" s="5">
        <f t="shared" si="1"/>
        <v>4.1739256898601695E-2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B5CDA-EDE7-4147-9F12-E0D20A3F7964}">
  <dimension ref="B3:M18"/>
  <sheetViews>
    <sheetView workbookViewId="0">
      <selection activeCell="R8" sqref="R8"/>
    </sheetView>
  </sheetViews>
  <sheetFormatPr defaultRowHeight="18.75"/>
  <cols>
    <col min="2" max="2" width="10.5" bestFit="1" customWidth="1"/>
    <col min="9" max="9" width="13.5" bestFit="1" customWidth="1"/>
    <col min="10" max="10" width="15.625" bestFit="1" customWidth="1"/>
  </cols>
  <sheetData>
    <row r="3" spans="2:13" s="13" customFormat="1" ht="20.25">
      <c r="B3" s="17" t="s">
        <v>11</v>
      </c>
      <c r="C3" s="17" t="s">
        <v>15</v>
      </c>
      <c r="D3" s="16" t="s">
        <v>31</v>
      </c>
      <c r="E3" s="16" t="s">
        <v>98</v>
      </c>
      <c r="F3" s="16" t="s">
        <v>10</v>
      </c>
      <c r="G3" s="16" t="s">
        <v>12</v>
      </c>
      <c r="H3" s="16" t="s">
        <v>99</v>
      </c>
      <c r="I3" s="16" t="s">
        <v>13</v>
      </c>
      <c r="J3" s="16" t="s">
        <v>14</v>
      </c>
    </row>
    <row r="4" spans="2:13">
      <c r="B4" s="41">
        <v>9.9999999999999995E-8</v>
      </c>
      <c r="C4" s="40">
        <f>'Indirect Computation'!C6</f>
        <v>100</v>
      </c>
      <c r="D4" s="32">
        <v>2</v>
      </c>
      <c r="E4" s="5">
        <f>'Indirect Computation'!$U$6*LN(D4/2+SQRT((D4/2)^2-1))</f>
        <v>0</v>
      </c>
      <c r="F4" s="5">
        <f>E4-$C$4</f>
        <v>-100</v>
      </c>
      <c r="G4" s="5">
        <f>D4+$B$4</f>
        <v>2.0000000999999998</v>
      </c>
      <c r="H4" s="5">
        <f>'Indirect Computation'!$U$6*LN(G4/2+SQRT((G4/2)^2-1))</f>
        <v>3.7909980543419187E-2</v>
      </c>
      <c r="I4" s="5">
        <f>(H4-E4)/$B$4</f>
        <v>379099.80543419189</v>
      </c>
      <c r="J4" s="5">
        <f>-F4/I4</f>
        <v>2.6378277848353854E-4</v>
      </c>
    </row>
    <row r="5" spans="2:13">
      <c r="D5" s="5">
        <f>D4+J4</f>
        <v>2.0002637827784837</v>
      </c>
      <c r="E5" s="5">
        <f>'Indirect Computation'!$U$6*LN(D5/2+SQRT((D5/2)^2-1))</f>
        <v>1.9470271605487393</v>
      </c>
      <c r="F5" s="5">
        <f>E5-$C$4</f>
        <v>-98.052972839451257</v>
      </c>
      <c r="G5" s="5">
        <f>D5+$B$4</f>
        <v>2.0002638827784835</v>
      </c>
      <c r="H5" s="5">
        <f>'Indirect Computation'!$U$6*LN(G5/2+SQRT((G5/2)^2-1))</f>
        <v>1.9473961762724714</v>
      </c>
      <c r="I5" s="5">
        <f>(H5-E5)/$B$4</f>
        <v>3690.1572373215786</v>
      </c>
      <c r="J5" s="5">
        <f>-F5/I5</f>
        <v>2.6571489108312606E-2</v>
      </c>
    </row>
    <row r="6" spans="2:13">
      <c r="D6" s="5">
        <f t="shared" ref="D6:D11" si="0">D5+J5</f>
        <v>2.0268352718867964</v>
      </c>
      <c r="E6" s="5">
        <f>'Indirect Computation'!$U$6*LN(D6/2+SQRT((D6/2)^2-1))</f>
        <v>19.616528492702034</v>
      </c>
      <c r="F6" s="5">
        <f t="shared" ref="F6:F18" si="1">E6-$C$4</f>
        <v>-80.383471507297969</v>
      </c>
      <c r="G6" s="5">
        <f t="shared" ref="G6:G11" si="2">D6+$B$4</f>
        <v>2.0268353718867962</v>
      </c>
      <c r="H6" s="5">
        <f>'Indirect Computation'!$U$6*LN(G6/2+SQRT((G6/2)^2-1))</f>
        <v>19.616564961229184</v>
      </c>
      <c r="I6" s="5">
        <f t="shared" ref="I6:I11" si="3">(H6-E6)/$B$4</f>
        <v>364.68527149224883</v>
      </c>
      <c r="J6" s="5">
        <f t="shared" ref="J6:J11" si="4">-F6/I6</f>
        <v>0.22041874951071741</v>
      </c>
    </row>
    <row r="7" spans="2:13">
      <c r="D7" s="5">
        <f t="shared" si="0"/>
        <v>2.2472540213975138</v>
      </c>
      <c r="E7" s="5">
        <f>'Indirect Computation'!$U$6*LN(D7/2+SQRT((D7/2)^2-1))</f>
        <v>59.01319405019207</v>
      </c>
      <c r="F7" s="5">
        <f t="shared" si="1"/>
        <v>-40.98680594980793</v>
      </c>
      <c r="G7" s="5">
        <f t="shared" si="2"/>
        <v>2.2472541213975137</v>
      </c>
      <c r="H7" s="5">
        <f>'Indirect Computation'!$U$6*LN(G7/2+SQRT((G7/2)^2-1))</f>
        <v>59.013205748625744</v>
      </c>
      <c r="I7" s="5">
        <f t="shared" si="3"/>
        <v>116.98433674212083</v>
      </c>
      <c r="J7" s="5">
        <f t="shared" si="4"/>
        <v>0.35036148506067832</v>
      </c>
    </row>
    <row r="8" spans="2:13">
      <c r="D8" s="5">
        <f t="shared" si="0"/>
        <v>2.5976155064581921</v>
      </c>
      <c r="E8" s="5">
        <f>'Indirect Computation'!$U$6*LN(D8/2+SQRT((D8/2)^2-1))</f>
        <v>90.510343709882591</v>
      </c>
      <c r="F8" s="5">
        <f t="shared" si="1"/>
        <v>-9.4896562901174093</v>
      </c>
      <c r="G8" s="5">
        <f t="shared" si="2"/>
        <v>2.5976156064581919</v>
      </c>
      <c r="H8" s="5">
        <f>'Indirect Computation'!$U$6*LN(G8/2+SQRT((G8/2)^2-1))</f>
        <v>90.510350942180196</v>
      </c>
      <c r="I8" s="5">
        <f t="shared" si="3"/>
        <v>72.322976052419108</v>
      </c>
      <c r="J8" s="5">
        <f t="shared" si="4"/>
        <v>0.1312121929722497</v>
      </c>
    </row>
    <row r="9" spans="2:13">
      <c r="D9" s="5">
        <f t="shared" si="0"/>
        <v>2.7288276994304419</v>
      </c>
      <c r="E9" s="5">
        <f>'Indirect Computation'!$U$6*LN(D9/2+SQRT((D9/2)^2-1))</f>
        <v>99.467080554894466</v>
      </c>
      <c r="F9" s="5">
        <f t="shared" si="1"/>
        <v>-0.53291944510553435</v>
      </c>
      <c r="G9" s="5">
        <f t="shared" si="2"/>
        <v>2.7288277994304417</v>
      </c>
      <c r="H9" s="5">
        <f>'Indirect Computation'!$U$6*LN(G9/2+SQRT((G9/2)^2-1))</f>
        <v>99.467087012393733</v>
      </c>
      <c r="I9" s="5">
        <f t="shared" si="3"/>
        <v>64.574992677535192</v>
      </c>
      <c r="J9" s="5">
        <f t="shared" si="4"/>
        <v>8.2527217272287852E-3</v>
      </c>
      <c r="M9" t="s">
        <v>16</v>
      </c>
    </row>
    <row r="10" spans="2:13">
      <c r="D10" s="5">
        <f t="shared" si="0"/>
        <v>2.7370804211576707</v>
      </c>
      <c r="E10" s="5">
        <f>'Indirect Computation'!$U$6*LN(D10/2+SQRT((D10/2)^2-1))</f>
        <v>99.998268465999345</v>
      </c>
      <c r="F10" s="5">
        <f t="shared" si="1"/>
        <v>-1.7315340006547331E-3</v>
      </c>
      <c r="G10" s="5">
        <f t="shared" si="2"/>
        <v>2.7370805211576705</v>
      </c>
      <c r="H10" s="5">
        <f>'Indirect Computation'!$U$6*LN(G10/2+SQRT((G10/2)^2-1))</f>
        <v>99.998274881650318</v>
      </c>
      <c r="I10" s="5">
        <f t="shared" si="3"/>
        <v>64.156509722579358</v>
      </c>
      <c r="J10" s="5">
        <f t="shared" si="4"/>
        <v>2.6989217589019402E-5</v>
      </c>
    </row>
    <row r="11" spans="2:13">
      <c r="D11" s="5">
        <f t="shared" si="0"/>
        <v>2.7371074103752595</v>
      </c>
      <c r="E11" s="5">
        <f>'Indirect Computation'!$U$6*LN(D11/2+SQRT((D11/2)^2-1))</f>
        <v>99.999999981755437</v>
      </c>
      <c r="F11" s="5">
        <f t="shared" si="1"/>
        <v>-1.8244563193547947E-8</v>
      </c>
      <c r="G11" s="5">
        <f t="shared" si="2"/>
        <v>2.7371075103752593</v>
      </c>
      <c r="H11" s="5">
        <f>'Indirect Computation'!$U$6*LN(G11/2+SQRT((G11/2)^2-1))</f>
        <v>100.00000639727068</v>
      </c>
      <c r="I11" s="5">
        <f t="shared" si="3"/>
        <v>64.155152443845509</v>
      </c>
      <c r="J11" s="5">
        <f t="shared" si="4"/>
        <v>2.8438188514191853E-10</v>
      </c>
    </row>
    <row r="12" spans="2:13">
      <c r="D12" s="5">
        <f>D11+J11</f>
        <v>2.7371074106596414</v>
      </c>
      <c r="E12" s="5">
        <f>'Indirect Computation'!$U$6*LN(D12/2+SQRT((D12/2)^2-1))</f>
        <v>100</v>
      </c>
      <c r="F12" s="5">
        <f>E12-$C$4</f>
        <v>0</v>
      </c>
      <c r="G12" s="5">
        <f>D12+$B$4</f>
        <v>2.7371075106596412</v>
      </c>
      <c r="H12" s="5">
        <f>'Indirect Computation'!$U$6*LN(G12/2+SQRT((G12/2)^2-1))</f>
        <v>100.00000641551524</v>
      </c>
      <c r="I12" s="5">
        <f>(H12-E12)/$B$4</f>
        <v>64.155152443845509</v>
      </c>
      <c r="J12" s="5">
        <f>-F12/I12</f>
        <v>0</v>
      </c>
    </row>
    <row r="13" spans="2:13">
      <c r="D13" s="5">
        <f t="shared" ref="D13:D18" si="5">D12+J12</f>
        <v>2.7371074106596414</v>
      </c>
      <c r="E13" s="5">
        <f>'Indirect Computation'!$U$6*LN(D13/2+SQRT((D13/2)^2-1))</f>
        <v>100</v>
      </c>
      <c r="F13" s="5">
        <f t="shared" si="1"/>
        <v>0</v>
      </c>
      <c r="G13" s="5">
        <f t="shared" ref="G13:G18" si="6">D13+$B$4</f>
        <v>2.7371075106596412</v>
      </c>
      <c r="H13" s="5">
        <f>'Indirect Computation'!$U$6*LN(G13/2+SQRT((G13/2)^2-1))</f>
        <v>100.00000641551524</v>
      </c>
      <c r="I13" s="5">
        <f t="shared" ref="I13:I18" si="7">(H13-E13)/$B$4</f>
        <v>64.155152443845509</v>
      </c>
      <c r="J13" s="5">
        <f t="shared" ref="J13:J18" si="8">-F13/I13</f>
        <v>0</v>
      </c>
      <c r="M13" t="s">
        <v>17</v>
      </c>
    </row>
    <row r="14" spans="2:13">
      <c r="D14" s="5">
        <f t="shared" si="5"/>
        <v>2.7371074106596414</v>
      </c>
      <c r="E14" s="5">
        <f>'Indirect Computation'!$U$6*LN(D14/2+SQRT((D14/2)^2-1))</f>
        <v>100</v>
      </c>
      <c r="F14" s="5">
        <f t="shared" si="1"/>
        <v>0</v>
      </c>
      <c r="G14" s="5">
        <f t="shared" si="6"/>
        <v>2.7371075106596412</v>
      </c>
      <c r="H14" s="5">
        <f>'Indirect Computation'!$U$6*LN(G14/2+SQRT((G14/2)^2-1))</f>
        <v>100.00000641551524</v>
      </c>
      <c r="I14" s="5">
        <f t="shared" si="7"/>
        <v>64.155152443845509</v>
      </c>
      <c r="J14" s="5">
        <f t="shared" si="8"/>
        <v>0</v>
      </c>
    </row>
    <row r="15" spans="2:13">
      <c r="D15" s="5">
        <f t="shared" si="5"/>
        <v>2.7371074106596414</v>
      </c>
      <c r="E15" s="5">
        <f>'Indirect Computation'!$U$6*LN(D15/2+SQRT((D15/2)^2-1))</f>
        <v>100</v>
      </c>
      <c r="F15" s="5">
        <f t="shared" si="1"/>
        <v>0</v>
      </c>
      <c r="G15" s="5">
        <f t="shared" si="6"/>
        <v>2.7371075106596412</v>
      </c>
      <c r="H15" s="5">
        <f>'Indirect Computation'!$U$6*LN(G15/2+SQRT((G15/2)^2-1))</f>
        <v>100.00000641551524</v>
      </c>
      <c r="I15" s="5">
        <f t="shared" si="7"/>
        <v>64.155152443845509</v>
      </c>
      <c r="J15" s="5">
        <f t="shared" si="8"/>
        <v>0</v>
      </c>
    </row>
    <row r="16" spans="2:13">
      <c r="D16" s="5">
        <f t="shared" si="5"/>
        <v>2.7371074106596414</v>
      </c>
      <c r="E16" s="5">
        <f>'Indirect Computation'!$U$6*LN(D16/2+SQRT((D16/2)^2-1))</f>
        <v>100</v>
      </c>
      <c r="F16" s="5">
        <f t="shared" si="1"/>
        <v>0</v>
      </c>
      <c r="G16" s="5">
        <f t="shared" si="6"/>
        <v>2.7371075106596412</v>
      </c>
      <c r="H16" s="5">
        <f>'Indirect Computation'!$U$6*LN(G16/2+SQRT((G16/2)^2-1))</f>
        <v>100.00000641551524</v>
      </c>
      <c r="I16" s="5">
        <f t="shared" si="7"/>
        <v>64.155152443845509</v>
      </c>
      <c r="J16" s="5">
        <f t="shared" si="8"/>
        <v>0</v>
      </c>
    </row>
    <row r="17" spans="4:10">
      <c r="D17" s="5">
        <f t="shared" si="5"/>
        <v>2.7371074106596414</v>
      </c>
      <c r="E17" s="5">
        <f>'Indirect Computation'!$U$6*LN(D17/2+SQRT((D17/2)^2-1))</f>
        <v>100</v>
      </c>
      <c r="F17" s="5">
        <f t="shared" si="1"/>
        <v>0</v>
      </c>
      <c r="G17" s="5">
        <f t="shared" si="6"/>
        <v>2.7371075106596412</v>
      </c>
      <c r="H17" s="5">
        <f>'Indirect Computation'!$U$6*LN(G17/2+SQRT((G17/2)^2-1))</f>
        <v>100.00000641551524</v>
      </c>
      <c r="I17" s="5">
        <f t="shared" si="7"/>
        <v>64.155152443845509</v>
      </c>
      <c r="J17" s="5">
        <f t="shared" si="8"/>
        <v>0</v>
      </c>
    </row>
    <row r="18" spans="4:10">
      <c r="D18" s="5">
        <f t="shared" si="5"/>
        <v>2.7371074106596414</v>
      </c>
      <c r="E18" s="5">
        <f>'Indirect Computation'!$U$6*LN(D18/2+SQRT((D18/2)^2-1))</f>
        <v>100</v>
      </c>
      <c r="F18" s="5">
        <f t="shared" si="1"/>
        <v>0</v>
      </c>
      <c r="G18" s="5">
        <f t="shared" si="6"/>
        <v>2.7371075106596412</v>
      </c>
      <c r="H18" s="5">
        <f>'Indirect Computation'!$U$6*LN(G18/2+SQRT((G18/2)^2-1))</f>
        <v>100.00000641551524</v>
      </c>
      <c r="I18" s="5">
        <f t="shared" si="7"/>
        <v>64.155152443845509</v>
      </c>
      <c r="J18" s="5">
        <f t="shared" si="8"/>
        <v>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8115-6FD8-49A2-AA35-69589AFC8E99}">
  <dimension ref="B3:Q18"/>
  <sheetViews>
    <sheetView workbookViewId="0">
      <selection activeCell="B1" sqref="B1"/>
    </sheetView>
  </sheetViews>
  <sheetFormatPr defaultRowHeight="18.75"/>
  <cols>
    <col min="2" max="2" width="10.5" bestFit="1" customWidth="1"/>
    <col min="7" max="7" width="12.75" bestFit="1" customWidth="1"/>
    <col min="11" max="11" width="12.125" bestFit="1" customWidth="1"/>
    <col min="12" max="12" width="14" bestFit="1" customWidth="1"/>
    <col min="13" max="13" width="13.5" bestFit="1" customWidth="1"/>
    <col min="14" max="14" width="15.625" bestFit="1" customWidth="1"/>
  </cols>
  <sheetData>
    <row r="3" spans="2:17" s="13" customFormat="1" ht="20.25">
      <c r="B3" s="17" t="s">
        <v>11</v>
      </c>
      <c r="C3" s="17" t="s">
        <v>15</v>
      </c>
      <c r="D3" s="16" t="s">
        <v>9</v>
      </c>
      <c r="E3" s="16" t="s">
        <v>35</v>
      </c>
      <c r="F3" s="16" t="s">
        <v>34</v>
      </c>
      <c r="G3" s="16" t="s">
        <v>96</v>
      </c>
      <c r="H3" s="16" t="s">
        <v>10</v>
      </c>
      <c r="I3" s="16" t="s">
        <v>12</v>
      </c>
      <c r="J3" s="16" t="s">
        <v>36</v>
      </c>
      <c r="K3" s="16" t="s">
        <v>37</v>
      </c>
      <c r="L3" s="16" t="s">
        <v>97</v>
      </c>
      <c r="M3" s="16" t="s">
        <v>13</v>
      </c>
      <c r="N3" s="16" t="s">
        <v>14</v>
      </c>
    </row>
    <row r="4" spans="2:17">
      <c r="B4" s="41">
        <v>9.9999999999999995E-8</v>
      </c>
      <c r="C4" s="40">
        <f>'Indirect Computation'!C6</f>
        <v>100</v>
      </c>
      <c r="D4" s="41">
        <v>2</v>
      </c>
      <c r="E4" s="5">
        <f>LN(D4/2+SQRT((D4/2)^2-1))</f>
        <v>0</v>
      </c>
      <c r="F4" s="5">
        <f>0.3*EXP(-0.25*(D4/2-1))</f>
        <v>0.3</v>
      </c>
      <c r="G4" s="5">
        <f>'Indirect Computation'!$U$6*(F4+E4)</f>
        <v>35.964565560576297</v>
      </c>
      <c r="H4" s="5">
        <f>G4-$C$4</f>
        <v>-64.03543443942371</v>
      </c>
      <c r="I4" s="5">
        <f>D4+$B$4</f>
        <v>2.0000000999999998</v>
      </c>
      <c r="J4" s="5">
        <f>LN(I4/2+SQRT((I4/2)^2-1))</f>
        <v>3.1622776434960263E-4</v>
      </c>
      <c r="K4" s="5">
        <f>0.3*EXP(-0.25*(I4/2-1))</f>
        <v>0.29999999625000001</v>
      </c>
      <c r="L4" s="5">
        <f>'Indirect Computation'!$U$6*(K4+J4)</f>
        <v>36.002475091562644</v>
      </c>
      <c r="M4" s="5">
        <f>(L4-G4)/$B$4</f>
        <v>379095.30986347306</v>
      </c>
      <c r="N4" s="5">
        <f>-H4/M4</f>
        <v>1.6891645128103895E-4</v>
      </c>
    </row>
    <row r="5" spans="2:17">
      <c r="D5" s="5">
        <f>IF((D4+N4)&gt;=2, D4+N4, 2)</f>
        <v>2.000168916451281</v>
      </c>
      <c r="E5" s="5">
        <f t="shared" ref="E5:E18" si="0">LN(D5/2+SQRT((D5/2)^2-1))</f>
        <v>1.2996694718423353E-2</v>
      </c>
      <c r="F5" s="5">
        <f t="shared" ref="F5:F18" si="1">0.3*EXP(-0.25*(D5/2-1))</f>
        <v>0.29999366569995012</v>
      </c>
      <c r="G5" s="5">
        <f>'Indirect Computation'!$U$6*(F5+E5)</f>
        <v>37.521874456983326</v>
      </c>
      <c r="H5" s="5">
        <f t="shared" ref="H5:H18" si="2">G5-$C$4</f>
        <v>-62.478125543016674</v>
      </c>
      <c r="I5" s="5">
        <f t="shared" ref="I5:I18" si="3">D5+$B$4</f>
        <v>2.0001690164512809</v>
      </c>
      <c r="J5" s="5">
        <f t="shared" ref="J5:J18" si="4">LN(I5/2+SQRT((I5/2)^2-1))</f>
        <v>1.3000541172879914E-2</v>
      </c>
      <c r="K5" s="5">
        <f t="shared" ref="K5:K18" si="5">0.3*EXP(-0.25*(I5/2-1))</f>
        <v>0.29999366195002936</v>
      </c>
      <c r="L5" s="5">
        <f>'Indirect Computation'!$U$6*(K5+J5)</f>
        <v>37.522335127647352</v>
      </c>
      <c r="M5" s="5">
        <f t="shared" ref="M5:M18" si="6">(L5-G5)/$B$4</f>
        <v>4606.7066402599721</v>
      </c>
      <c r="N5" s="5">
        <f t="shared" ref="N5:N18" si="7">-H5/M5</f>
        <v>1.3562427656450644E-2</v>
      </c>
    </row>
    <row r="6" spans="2:17">
      <c r="D6" s="5">
        <f t="shared" ref="D6:D18" si="8">IF((D5+N5)&gt;=2, D5+N5, 2)</f>
        <v>2.0137313441077316</v>
      </c>
      <c r="E6" s="5">
        <f t="shared" si="0"/>
        <v>0.11711387760333487</v>
      </c>
      <c r="F6" s="5">
        <f t="shared" si="1"/>
        <v>0.29948551625685188</v>
      </c>
      <c r="G6" s="5">
        <f>'Indirect Computation'!$U$6*(F6+E6)</f>
        <v>49.942720709936779</v>
      </c>
      <c r="H6" s="5">
        <f t="shared" si="2"/>
        <v>-50.057279290063221</v>
      </c>
      <c r="I6" s="5">
        <f t="shared" si="3"/>
        <v>2.0137314441077314</v>
      </c>
      <c r="J6" s="5">
        <f t="shared" si="4"/>
        <v>0.11711430356305241</v>
      </c>
      <c r="K6" s="5">
        <f t="shared" si="5"/>
        <v>0.29948551251328298</v>
      </c>
      <c r="L6" s="5">
        <f>'Indirect Computation'!$U$6*(K6+J6)</f>
        <v>49.942771326004639</v>
      </c>
      <c r="M6" s="5">
        <f t="shared" si="6"/>
        <v>506.1606785972117</v>
      </c>
      <c r="N6" s="5">
        <f t="shared" si="7"/>
        <v>9.8896025326964176E-2</v>
      </c>
    </row>
    <row r="7" spans="2:17">
      <c r="D7" s="5">
        <f t="shared" si="8"/>
        <v>2.112627369434696</v>
      </c>
      <c r="E7" s="5">
        <f t="shared" si="0"/>
        <v>0.33404473474655044</v>
      </c>
      <c r="F7" s="5">
        <f t="shared" si="1"/>
        <v>0.29580606490878353</v>
      </c>
      <c r="G7" s="5">
        <f>'Indirect Computation'!$U$6*(F7+E7)</f>
        <v>75.50770125861888</v>
      </c>
      <c r="H7" s="5">
        <f t="shared" si="2"/>
        <v>-24.49229874138112</v>
      </c>
      <c r="I7" s="5">
        <f t="shared" si="3"/>
        <v>2.1126274694346958</v>
      </c>
      <c r="J7" s="5">
        <f t="shared" si="4"/>
        <v>0.3340448816791794</v>
      </c>
      <c r="K7" s="5">
        <f t="shared" si="5"/>
        <v>0.29580606121120773</v>
      </c>
      <c r="L7" s="5">
        <f>'Indirect Computation'!$U$6*(K7+J7)</f>
        <v>75.507718429907086</v>
      </c>
      <c r="M7" s="5">
        <f t="shared" si="6"/>
        <v>171.71288206441204</v>
      </c>
      <c r="N7" s="5">
        <f t="shared" si="7"/>
        <v>0.14263518524017141</v>
      </c>
    </row>
    <row r="8" spans="2:17">
      <c r="D8" s="5">
        <f t="shared" si="8"/>
        <v>2.2552625546748675</v>
      </c>
      <c r="E8" s="5">
        <f t="shared" si="0"/>
        <v>0.50001019405165648</v>
      </c>
      <c r="F8" s="5">
        <f t="shared" si="1"/>
        <v>0.2905787591326715</v>
      </c>
      <c r="G8" s="5">
        <f>'Indirect Computation'!$U$6*(F8+E8)</f>
        <v>94.777294127550505</v>
      </c>
      <c r="H8" s="5">
        <f t="shared" si="2"/>
        <v>-5.2227058724494952</v>
      </c>
      <c r="I8" s="5">
        <f t="shared" si="3"/>
        <v>2.2552626546748673</v>
      </c>
      <c r="J8" s="5">
        <f t="shared" si="4"/>
        <v>0.50001029000126729</v>
      </c>
      <c r="K8" s="5">
        <f t="shared" si="5"/>
        <v>0.29057875550043705</v>
      </c>
      <c r="L8" s="5">
        <f>'Indirect Computation'!$U$6*(K8+J8)</f>
        <v>94.777305194731625</v>
      </c>
      <c r="M8" s="5">
        <f t="shared" si="6"/>
        <v>110.67181119983616</v>
      </c>
      <c r="N8" s="5">
        <f t="shared" si="7"/>
        <v>4.7190931600631716E-2</v>
      </c>
    </row>
    <row r="9" spans="2:17">
      <c r="D9" s="5">
        <f t="shared" si="8"/>
        <v>2.3024534862754993</v>
      </c>
      <c r="E9" s="5">
        <f t="shared" si="0"/>
        <v>0.54325274772810284</v>
      </c>
      <c r="F9" s="5">
        <f t="shared" si="1"/>
        <v>0.28886971949334483</v>
      </c>
      <c r="G9" s="5">
        <f>'Indirect Computation'!$U$6*(F9+E9)</f>
        <v>99.75641008938085</v>
      </c>
      <c r="H9" s="5">
        <f t="shared" si="2"/>
        <v>-0.24358991061914992</v>
      </c>
      <c r="I9" s="5">
        <f t="shared" si="3"/>
        <v>2.3024535862754991</v>
      </c>
      <c r="J9" s="5">
        <f t="shared" si="4"/>
        <v>0.54325283539034441</v>
      </c>
      <c r="K9" s="5">
        <f t="shared" si="5"/>
        <v>0.2888697158824734</v>
      </c>
      <c r="L9" s="5">
        <f>'Indirect Computation'!$U$6*(K9+J9)</f>
        <v>99.75642016561757</v>
      </c>
      <c r="M9" s="5">
        <f t="shared" si="6"/>
        <v>100.76236719669396</v>
      </c>
      <c r="N9" s="5">
        <f t="shared" si="7"/>
        <v>2.4174691146710394E-3</v>
      </c>
      <c r="Q9" t="s">
        <v>16</v>
      </c>
    </row>
    <row r="10" spans="2:17">
      <c r="D10" s="5">
        <f t="shared" si="8"/>
        <v>2.3048709553901703</v>
      </c>
      <c r="E10" s="5">
        <f t="shared" si="0"/>
        <v>0.54536744092603828</v>
      </c>
      <c r="F10" s="5">
        <f t="shared" si="1"/>
        <v>0.28878244097794881</v>
      </c>
      <c r="G10" s="5">
        <f>'Indirect Computation'!$U$6*(F10+E10)</f>
        <v>99.99946038360973</v>
      </c>
      <c r="H10" s="5">
        <f t="shared" si="2"/>
        <v>-5.3961639027022557E-4</v>
      </c>
      <c r="I10" s="5">
        <f t="shared" si="3"/>
        <v>2.3048710553901701</v>
      </c>
      <c r="J10" s="5">
        <f t="shared" si="4"/>
        <v>0.54536752821551016</v>
      </c>
      <c r="K10" s="5">
        <f t="shared" si="5"/>
        <v>0.28878243736816833</v>
      </c>
      <c r="L10" s="5">
        <f>'Indirect Computation'!$U$6*(K10+J10)</f>
        <v>99.999470415288897</v>
      </c>
      <c r="M10" s="5">
        <f t="shared" si="6"/>
        <v>100.31679167354923</v>
      </c>
      <c r="N10" s="5">
        <f t="shared" si="7"/>
        <v>5.3791232880158739E-6</v>
      </c>
    </row>
    <row r="11" spans="2:17">
      <c r="D11" s="5">
        <f t="shared" si="8"/>
        <v>2.3048763345134584</v>
      </c>
      <c r="E11" s="5">
        <f t="shared" si="0"/>
        <v>0.5453721363125974</v>
      </c>
      <c r="F11" s="5">
        <f t="shared" si="1"/>
        <v>0.28878224680346992</v>
      </c>
      <c r="G11" s="5">
        <f>'Indirect Computation'!$U$6*(F11+E11)</f>
        <v>99.999999997399613</v>
      </c>
      <c r="H11" s="5">
        <f t="shared" si="2"/>
        <v>-2.6003874609159539E-9</v>
      </c>
      <c r="I11" s="5">
        <f t="shared" si="3"/>
        <v>2.3048764345134582</v>
      </c>
      <c r="J11" s="5">
        <f t="shared" si="4"/>
        <v>0.54537222360124482</v>
      </c>
      <c r="K11" s="5">
        <f t="shared" si="5"/>
        <v>0.28878224319369189</v>
      </c>
      <c r="L11" s="5">
        <f>'Indirect Computation'!$U$6*(K11+J11)</f>
        <v>100.00001002898023</v>
      </c>
      <c r="M11" s="5">
        <f t="shared" si="6"/>
        <v>100.31580615077473</v>
      </c>
      <c r="N11" s="5">
        <f t="shared" si="7"/>
        <v>2.5922011303059955E-11</v>
      </c>
    </row>
    <row r="12" spans="2:17">
      <c r="D12" s="5">
        <f t="shared" si="8"/>
        <v>2.3048763345393803</v>
      </c>
      <c r="E12" s="5">
        <f t="shared" si="0"/>
        <v>0.54537213633522419</v>
      </c>
      <c r="F12" s="5">
        <f t="shared" si="1"/>
        <v>0.28878224680253423</v>
      </c>
      <c r="G12" s="5">
        <f>'Indirect Computation'!$U$6*(F12+E12)</f>
        <v>99.999999999999986</v>
      </c>
      <c r="H12" s="5">
        <f t="shared" si="2"/>
        <v>0</v>
      </c>
      <c r="I12" s="5">
        <f t="shared" si="3"/>
        <v>2.3048764345393802</v>
      </c>
      <c r="J12" s="5">
        <f t="shared" si="4"/>
        <v>0.54537222362387183</v>
      </c>
      <c r="K12" s="5">
        <f t="shared" si="5"/>
        <v>0.28878224319275614</v>
      </c>
      <c r="L12" s="5">
        <f>'Indirect Computation'!$U$6*(K12+J12)</f>
        <v>100.00001003158062</v>
      </c>
      <c r="M12" s="5">
        <f t="shared" si="6"/>
        <v>100.31580629288328</v>
      </c>
      <c r="N12" s="5">
        <f t="shared" si="7"/>
        <v>0</v>
      </c>
    </row>
    <row r="13" spans="2:17">
      <c r="D13" s="5">
        <f t="shared" si="8"/>
        <v>2.3048763345393803</v>
      </c>
      <c r="E13" s="5">
        <f t="shared" si="0"/>
        <v>0.54537213633522419</v>
      </c>
      <c r="F13" s="5">
        <f t="shared" si="1"/>
        <v>0.28878224680253423</v>
      </c>
      <c r="G13" s="5">
        <f>'Indirect Computation'!$U$6*(F13+E13)</f>
        <v>99.999999999999986</v>
      </c>
      <c r="H13" s="5">
        <f t="shared" si="2"/>
        <v>0</v>
      </c>
      <c r="I13" s="5">
        <f t="shared" si="3"/>
        <v>2.3048764345393802</v>
      </c>
      <c r="J13" s="5">
        <f t="shared" si="4"/>
        <v>0.54537222362387183</v>
      </c>
      <c r="K13" s="5">
        <f t="shared" si="5"/>
        <v>0.28878224319275614</v>
      </c>
      <c r="L13" s="5">
        <f>'Indirect Computation'!$U$6*(K13+J13)</f>
        <v>100.00001003158062</v>
      </c>
      <c r="M13" s="5">
        <f t="shared" si="6"/>
        <v>100.31580629288328</v>
      </c>
      <c r="N13" s="5">
        <f t="shared" si="7"/>
        <v>0</v>
      </c>
      <c r="Q13" t="s">
        <v>17</v>
      </c>
    </row>
    <row r="14" spans="2:17">
      <c r="D14" s="5">
        <f t="shared" si="8"/>
        <v>2.3048763345393803</v>
      </c>
      <c r="E14" s="5">
        <f t="shared" si="0"/>
        <v>0.54537213633522419</v>
      </c>
      <c r="F14" s="5">
        <f t="shared" si="1"/>
        <v>0.28878224680253423</v>
      </c>
      <c r="G14" s="5">
        <f>'Indirect Computation'!$U$6*(F14+E14)</f>
        <v>99.999999999999986</v>
      </c>
      <c r="H14" s="5">
        <f t="shared" si="2"/>
        <v>0</v>
      </c>
      <c r="I14" s="5">
        <f t="shared" si="3"/>
        <v>2.3048764345393802</v>
      </c>
      <c r="J14" s="5">
        <f t="shared" si="4"/>
        <v>0.54537222362387183</v>
      </c>
      <c r="K14" s="5">
        <f t="shared" si="5"/>
        <v>0.28878224319275614</v>
      </c>
      <c r="L14" s="5">
        <f>'Indirect Computation'!$U$6*(K14+J14)</f>
        <v>100.00001003158062</v>
      </c>
      <c r="M14" s="5">
        <f t="shared" si="6"/>
        <v>100.31580629288328</v>
      </c>
      <c r="N14" s="5">
        <f t="shared" si="7"/>
        <v>0</v>
      </c>
    </row>
    <row r="15" spans="2:17">
      <c r="D15" s="5">
        <f t="shared" si="8"/>
        <v>2.3048763345393803</v>
      </c>
      <c r="E15" s="5">
        <f t="shared" si="0"/>
        <v>0.54537213633522419</v>
      </c>
      <c r="F15" s="5">
        <f t="shared" si="1"/>
        <v>0.28878224680253423</v>
      </c>
      <c r="G15" s="5">
        <f>'Indirect Computation'!$U$6*(F15+E15)</f>
        <v>99.999999999999986</v>
      </c>
      <c r="H15" s="5">
        <f t="shared" si="2"/>
        <v>0</v>
      </c>
      <c r="I15" s="5">
        <f t="shared" si="3"/>
        <v>2.3048764345393802</v>
      </c>
      <c r="J15" s="5">
        <f t="shared" si="4"/>
        <v>0.54537222362387183</v>
      </c>
      <c r="K15" s="5">
        <f t="shared" si="5"/>
        <v>0.28878224319275614</v>
      </c>
      <c r="L15" s="5">
        <f>'Indirect Computation'!$U$6*(K15+J15)</f>
        <v>100.00001003158062</v>
      </c>
      <c r="M15" s="5">
        <f t="shared" si="6"/>
        <v>100.31580629288328</v>
      </c>
      <c r="N15" s="5">
        <f t="shared" si="7"/>
        <v>0</v>
      </c>
    </row>
    <row r="16" spans="2:17">
      <c r="D16" s="5">
        <f t="shared" si="8"/>
        <v>2.3048763345393803</v>
      </c>
      <c r="E16" s="5">
        <f t="shared" si="0"/>
        <v>0.54537213633522419</v>
      </c>
      <c r="F16" s="5">
        <f t="shared" si="1"/>
        <v>0.28878224680253423</v>
      </c>
      <c r="G16" s="5">
        <f>'Indirect Computation'!$U$6*(F16+E16)</f>
        <v>99.999999999999986</v>
      </c>
      <c r="H16" s="5">
        <f t="shared" si="2"/>
        <v>0</v>
      </c>
      <c r="I16" s="5">
        <f t="shared" si="3"/>
        <v>2.3048764345393802</v>
      </c>
      <c r="J16" s="5">
        <f t="shared" si="4"/>
        <v>0.54537222362387183</v>
      </c>
      <c r="K16" s="5">
        <f t="shared" si="5"/>
        <v>0.28878224319275614</v>
      </c>
      <c r="L16" s="5">
        <f>'Indirect Computation'!$U$6*(K16+J16)</f>
        <v>100.00001003158062</v>
      </c>
      <c r="M16" s="5">
        <f t="shared" si="6"/>
        <v>100.31580629288328</v>
      </c>
      <c r="N16" s="5">
        <f t="shared" si="7"/>
        <v>0</v>
      </c>
    </row>
    <row r="17" spans="4:14">
      <c r="D17" s="5">
        <f t="shared" si="8"/>
        <v>2.3048763345393803</v>
      </c>
      <c r="E17" s="5">
        <f t="shared" si="0"/>
        <v>0.54537213633522419</v>
      </c>
      <c r="F17" s="5">
        <f t="shared" si="1"/>
        <v>0.28878224680253423</v>
      </c>
      <c r="G17" s="5">
        <f>'Indirect Computation'!$U$6*(F17+E17)</f>
        <v>99.999999999999986</v>
      </c>
      <c r="H17" s="5">
        <f t="shared" si="2"/>
        <v>0</v>
      </c>
      <c r="I17" s="5">
        <f t="shared" si="3"/>
        <v>2.3048764345393802</v>
      </c>
      <c r="J17" s="5">
        <f t="shared" si="4"/>
        <v>0.54537222362387183</v>
      </c>
      <c r="K17" s="5">
        <f t="shared" si="5"/>
        <v>0.28878224319275614</v>
      </c>
      <c r="L17" s="5">
        <f>'Indirect Computation'!$U$6*(K17+J17)</f>
        <v>100.00001003158062</v>
      </c>
      <c r="M17" s="5">
        <f t="shared" si="6"/>
        <v>100.31580629288328</v>
      </c>
      <c r="N17" s="5">
        <f t="shared" si="7"/>
        <v>0</v>
      </c>
    </row>
    <row r="18" spans="4:14">
      <c r="D18" s="5">
        <f t="shared" si="8"/>
        <v>2.3048763345393803</v>
      </c>
      <c r="E18" s="5">
        <f t="shared" si="0"/>
        <v>0.54537213633522419</v>
      </c>
      <c r="F18" s="5">
        <f t="shared" si="1"/>
        <v>0.28878224680253423</v>
      </c>
      <c r="G18" s="5">
        <f>'Indirect Computation'!$U$6*(F18+E18)</f>
        <v>99.999999999999986</v>
      </c>
      <c r="H18" s="5">
        <f t="shared" si="2"/>
        <v>0</v>
      </c>
      <c r="I18" s="5">
        <f t="shared" si="3"/>
        <v>2.3048764345393802</v>
      </c>
      <c r="J18" s="5">
        <f t="shared" si="4"/>
        <v>0.54537222362387183</v>
      </c>
      <c r="K18" s="5">
        <f t="shared" si="5"/>
        <v>0.28878224319275614</v>
      </c>
      <c r="L18" s="5">
        <f>'Indirect Computation'!$U$6*(K18+J18)</f>
        <v>100.00001003158062</v>
      </c>
      <c r="M18" s="5">
        <f t="shared" si="6"/>
        <v>100.31580629288328</v>
      </c>
      <c r="N18" s="5">
        <f t="shared" si="7"/>
        <v>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4040-EFE6-4A08-92A8-BDDFCDA229A9}">
  <dimension ref="B3:Q18"/>
  <sheetViews>
    <sheetView workbookViewId="0">
      <selection activeCell="B1" sqref="B1"/>
    </sheetView>
  </sheetViews>
  <sheetFormatPr defaultRowHeight="18.75"/>
  <cols>
    <col min="2" max="2" width="10.5" bestFit="1" customWidth="1"/>
    <col min="11" max="11" width="12.125" bestFit="1" customWidth="1"/>
    <col min="12" max="12" width="12.75" bestFit="1" customWidth="1"/>
    <col min="13" max="13" width="13.5" bestFit="1" customWidth="1"/>
    <col min="14" max="14" width="15.625" bestFit="1" customWidth="1"/>
  </cols>
  <sheetData>
    <row r="3" spans="2:17" s="13" customFormat="1" ht="20.25">
      <c r="B3" s="17" t="s">
        <v>11</v>
      </c>
      <c r="C3" s="17" t="s">
        <v>15</v>
      </c>
      <c r="D3" s="16" t="s">
        <v>9</v>
      </c>
      <c r="E3" s="16" t="s">
        <v>35</v>
      </c>
      <c r="F3" s="16" t="s">
        <v>34</v>
      </c>
      <c r="G3" s="16" t="s">
        <v>94</v>
      </c>
      <c r="H3" s="16" t="s">
        <v>10</v>
      </c>
      <c r="I3" s="16" t="s">
        <v>12</v>
      </c>
      <c r="J3" s="16" t="s">
        <v>36</v>
      </c>
      <c r="K3" s="16" t="s">
        <v>37</v>
      </c>
      <c r="L3" s="16" t="s">
        <v>95</v>
      </c>
      <c r="M3" s="16" t="s">
        <v>13</v>
      </c>
      <c r="N3" s="16" t="s">
        <v>14</v>
      </c>
    </row>
    <row r="4" spans="2:17">
      <c r="B4" s="41">
        <v>9.9999999999999995E-8</v>
      </c>
      <c r="C4" s="40">
        <f>'Indirect Computation'!C6</f>
        <v>100</v>
      </c>
      <c r="D4" s="41">
        <v>2</v>
      </c>
      <c r="E4" s="5">
        <f>LN(D4/2+SQRT((D4/2)^2-1))</f>
        <v>0</v>
      </c>
      <c r="F4" s="5">
        <f>0.3*EXP(-0.25*(D4/2-1))</f>
        <v>0.3</v>
      </c>
      <c r="G4" s="5">
        <f>'Indirect Computation'!$U$6*SQRT((F4+E4)*E4)</f>
        <v>0</v>
      </c>
      <c r="H4" s="5">
        <f>G4-$C$4</f>
        <v>-100</v>
      </c>
      <c r="I4" s="5">
        <f>D4+$B$4</f>
        <v>2.0000000999999998</v>
      </c>
      <c r="J4" s="5">
        <f>LN(I4/2+SQRT((I4/2)^2-1))</f>
        <v>3.1622776434960263E-4</v>
      </c>
      <c r="K4" s="5">
        <f>0.3*EXP(-0.25*(I4/2-1))</f>
        <v>0.29999999625000001</v>
      </c>
      <c r="L4" s="5">
        <f>'Indirect Computation'!$U$6*SQRT((K4+J4)*J4)</f>
        <v>1.1682692884074606</v>
      </c>
      <c r="M4" s="5">
        <f>(L4-G4)/$B$4</f>
        <v>11682692.884074606</v>
      </c>
      <c r="N4" s="5">
        <f>-H4/M4</f>
        <v>8.5596703595894504E-6</v>
      </c>
    </row>
    <row r="5" spans="2:17">
      <c r="D5" s="5">
        <f>IF((D4+N4)&gt;=2, D4+N4, 2)</f>
        <v>2.0000085596703596</v>
      </c>
      <c r="E5" s="5">
        <f t="shared" ref="E5:E18" si="0">LN(D5/2+SQRT((D5/2)^2-1))</f>
        <v>2.9256903892721205E-3</v>
      </c>
      <c r="F5" s="5">
        <f t="shared" ref="F5:F18" si="1">0.3*EXP(-0.25*(D5/2-1))</f>
        <v>0.29999967901253322</v>
      </c>
      <c r="G5" s="5">
        <f>'Indirect Computation'!$U$6*SQRT((F5+E5)*E5)</f>
        <v>3.5689097805191525</v>
      </c>
      <c r="H5" s="5">
        <f t="shared" ref="H5:H18" si="2">G5-$C$4</f>
        <v>-96.431090219480851</v>
      </c>
      <c r="I5" s="5">
        <f t="shared" ref="I5:I18" si="3">D5+$B$4</f>
        <v>2.0000086596703595</v>
      </c>
      <c r="J5" s="5">
        <f t="shared" ref="J5:J18" si="4">LN(I5/2+SQRT((I5/2)^2-1))</f>
        <v>2.9427307233726545E-3</v>
      </c>
      <c r="K5" s="5">
        <f t="shared" ref="K5:K18" si="5">0.3*EXP(-0.25*(I5/2-1))</f>
        <v>0.29999967526253729</v>
      </c>
      <c r="L5" s="5">
        <f>'Indirect Computation'!$U$6*SQRT((K5+J5)*J5)</f>
        <v>3.5793886835557114</v>
      </c>
      <c r="M5" s="5">
        <f t="shared" ref="M5:M18" si="6">(L5-G5)/$B$4</f>
        <v>104789.03036558851</v>
      </c>
      <c r="N5" s="5">
        <f t="shared" ref="N5:N18" si="7">-H5/M5</f>
        <v>9.2024031411543333E-4</v>
      </c>
    </row>
    <row r="6" spans="2:17">
      <c r="D6" s="5">
        <f t="shared" ref="D6:D18" si="8">IF((D5+N5)&gt;=2, D5+N5, 2)</f>
        <v>2.0009287999844751</v>
      </c>
      <c r="E6" s="5">
        <f t="shared" si="0"/>
        <v>3.0475040676905391E-2</v>
      </c>
      <c r="F6" s="5">
        <f t="shared" si="1"/>
        <v>0.29996517202238537</v>
      </c>
      <c r="G6" s="5">
        <f>'Indirect Computation'!$U$6*SQRT((F6+E6)*E6)</f>
        <v>12.030180882661689</v>
      </c>
      <c r="H6" s="5">
        <f t="shared" si="2"/>
        <v>-87.969819117338318</v>
      </c>
      <c r="I6" s="5">
        <f t="shared" si="3"/>
        <v>2.000928899984475</v>
      </c>
      <c r="J6" s="5">
        <f t="shared" si="4"/>
        <v>3.0476681065707042E-2</v>
      </c>
      <c r="K6" s="5">
        <f t="shared" si="5"/>
        <v>0.29996516827282071</v>
      </c>
      <c r="L6" s="5">
        <f>'Indirect Computation'!$U$6*SQRT((K6+J6)*J6)</f>
        <v>12.030534447253464</v>
      </c>
      <c r="M6" s="5">
        <f t="shared" si="6"/>
        <v>3535.6459177471324</v>
      </c>
      <c r="N6" s="5">
        <f t="shared" si="7"/>
        <v>2.4880833987299143E-2</v>
      </c>
    </row>
    <row r="7" spans="2:17">
      <c r="D7" s="5">
        <f t="shared" si="8"/>
        <v>2.0258096339717744</v>
      </c>
      <c r="E7" s="5">
        <f t="shared" si="0"/>
        <v>0.16048150292113761</v>
      </c>
      <c r="F7" s="5">
        <f t="shared" si="1"/>
        <v>0.29903369830750753</v>
      </c>
      <c r="G7" s="5">
        <f>'Indirect Computation'!$U$6*SQRT((F7+E7)*E7)</f>
        <v>32.554872343617703</v>
      </c>
      <c r="H7" s="5">
        <f t="shared" si="2"/>
        <v>-67.445127656382297</v>
      </c>
      <c r="I7" s="5">
        <f t="shared" si="3"/>
        <v>2.0258097339717742</v>
      </c>
      <c r="J7" s="5">
        <f t="shared" si="4"/>
        <v>0.1604818131498823</v>
      </c>
      <c r="K7" s="5">
        <f t="shared" si="5"/>
        <v>0.29903369456958634</v>
      </c>
      <c r="L7" s="5">
        <f>'Indirect Computation'!$U$6*SQRT((K7+J7)*J7)</f>
        <v>32.554914666564883</v>
      </c>
      <c r="M7" s="5">
        <f t="shared" si="6"/>
        <v>423.22947180650772</v>
      </c>
      <c r="N7" s="5">
        <f t="shared" si="7"/>
        <v>0.15935829650165972</v>
      </c>
    </row>
    <row r="8" spans="2:17">
      <c r="D8" s="5">
        <f t="shared" si="8"/>
        <v>2.1851679304734342</v>
      </c>
      <c r="E8" s="5">
        <f t="shared" si="0"/>
        <v>0.42705875186327069</v>
      </c>
      <c r="F8" s="5">
        <f t="shared" si="1"/>
        <v>0.29313594670733278</v>
      </c>
      <c r="G8" s="5">
        <f>'Indirect Computation'!$U$6*SQRT((F8+E8)*E8)</f>
        <v>66.484795480383696</v>
      </c>
      <c r="H8" s="5">
        <f t="shared" si="2"/>
        <v>-33.515204519616304</v>
      </c>
      <c r="I8" s="5">
        <f t="shared" si="3"/>
        <v>2.185168030473434</v>
      </c>
      <c r="J8" s="5">
        <f t="shared" si="4"/>
        <v>0.42705886545863453</v>
      </c>
      <c r="K8" s="5">
        <f t="shared" si="5"/>
        <v>0.29313594304313351</v>
      </c>
      <c r="L8" s="5">
        <f>'Indirect Computation'!$U$6*SQRT((K8+J8)*J8)</f>
        <v>66.484809396834549</v>
      </c>
      <c r="M8" s="5">
        <f t="shared" si="6"/>
        <v>139.16450853912465</v>
      </c>
      <c r="N8" s="5">
        <f t="shared" si="7"/>
        <v>0.24083155160350281</v>
      </c>
    </row>
    <row r="9" spans="2:17">
      <c r="D9" s="5">
        <f t="shared" si="8"/>
        <v>2.4259994820769371</v>
      </c>
      <c r="E9" s="5">
        <f t="shared" si="0"/>
        <v>0.64162357724105912</v>
      </c>
      <c r="F9" s="5">
        <f t="shared" si="1"/>
        <v>0.28444290254901683</v>
      </c>
      <c r="G9" s="5">
        <f>'Indirect Computation'!$U$6*SQRT((F9+E9)*E9)</f>
        <v>92.409113344878065</v>
      </c>
      <c r="H9" s="5">
        <f t="shared" si="2"/>
        <v>-7.5908866551219347</v>
      </c>
      <c r="I9" s="5">
        <f t="shared" si="3"/>
        <v>2.4259995820769369</v>
      </c>
      <c r="J9" s="5">
        <f t="shared" si="4"/>
        <v>0.64162365006761246</v>
      </c>
      <c r="K9" s="5">
        <f t="shared" si="5"/>
        <v>0.28444289899348058</v>
      </c>
      <c r="L9" s="5">
        <f>'Indirect Computation'!$U$6*SQRT((K9+J9)*J9)</f>
        <v>92.409122045422137</v>
      </c>
      <c r="M9" s="5">
        <f t="shared" si="6"/>
        <v>87.005440718712634</v>
      </c>
      <c r="N9" s="5">
        <f t="shared" si="7"/>
        <v>8.7246114638545008E-2</v>
      </c>
      <c r="Q9" t="s">
        <v>16</v>
      </c>
    </row>
    <row r="10" spans="2:17">
      <c r="D10" s="5">
        <f t="shared" si="8"/>
        <v>2.5132455967154819</v>
      </c>
      <c r="E10" s="5">
        <f t="shared" si="0"/>
        <v>0.7019134264603617</v>
      </c>
      <c r="F10" s="5">
        <f t="shared" si="1"/>
        <v>0.2813576891719658</v>
      </c>
      <c r="G10" s="5">
        <f>'Indirect Computation'!$U$6*SQRT((F10+E10)*E10)</f>
        <v>99.593725781269569</v>
      </c>
      <c r="H10" s="5">
        <f t="shared" si="2"/>
        <v>-0.4062742187304309</v>
      </c>
      <c r="I10" s="5">
        <f t="shared" si="3"/>
        <v>2.5132456967154817</v>
      </c>
      <c r="J10" s="5">
        <f t="shared" si="4"/>
        <v>0.70191349216452315</v>
      </c>
      <c r="K10" s="5">
        <f t="shared" si="5"/>
        <v>0.28135768565499475</v>
      </c>
      <c r="L10" s="5">
        <f>'Indirect Computation'!$U$6*SQRT((K10+J10)*J10)</f>
        <v>99.593733592028386</v>
      </c>
      <c r="M10" s="5">
        <f t="shared" si="6"/>
        <v>78.107588166176356</v>
      </c>
      <c r="N10" s="5">
        <f t="shared" si="7"/>
        <v>5.2014692588647042E-3</v>
      </c>
    </row>
    <row r="11" spans="2:17">
      <c r="D11" s="5">
        <f t="shared" si="8"/>
        <v>2.5184470659743465</v>
      </c>
      <c r="E11" s="5">
        <f t="shared" si="0"/>
        <v>0.70532141235427381</v>
      </c>
      <c r="F11" s="5">
        <f t="shared" si="1"/>
        <v>0.28117481445811165</v>
      </c>
      <c r="G11" s="5">
        <f>'Indirect Computation'!$U$6*SQRT((F11+E11)*E11)</f>
        <v>99.998805496809979</v>
      </c>
      <c r="H11" s="5">
        <f t="shared" si="2"/>
        <v>-1.1945031900211234E-3</v>
      </c>
      <c r="I11" s="5">
        <f t="shared" si="3"/>
        <v>2.5184471659743464</v>
      </c>
      <c r="J11" s="5">
        <f t="shared" si="4"/>
        <v>0.70532147769036757</v>
      </c>
      <c r="K11" s="5">
        <f t="shared" si="5"/>
        <v>0.2811748109434265</v>
      </c>
      <c r="L11" s="5">
        <f>'Indirect Computation'!$U$6*SQRT((K11+J11)*J11)</f>
        <v>99.998813261754051</v>
      </c>
      <c r="M11" s="5">
        <f t="shared" si="6"/>
        <v>77.649440726190733</v>
      </c>
      <c r="N11" s="5">
        <f t="shared" si="7"/>
        <v>1.538328130698595E-5</v>
      </c>
    </row>
    <row r="12" spans="2:17">
      <c r="D12" s="5">
        <f t="shared" si="8"/>
        <v>2.5184624492556535</v>
      </c>
      <c r="E12" s="5">
        <f t="shared" si="0"/>
        <v>0.70533146310682293</v>
      </c>
      <c r="F12" s="5">
        <f t="shared" si="1"/>
        <v>0.28117427378472309</v>
      </c>
      <c r="G12" s="5">
        <f>'Indirect Computation'!$U$6*SQRT((F12+E12)*E12)</f>
        <v>99.999999989728138</v>
      </c>
      <c r="H12" s="5">
        <f t="shared" si="2"/>
        <v>-1.0271861583532882E-8</v>
      </c>
      <c r="I12" s="5">
        <f t="shared" si="3"/>
        <v>2.5184625492556534</v>
      </c>
      <c r="J12" s="5">
        <f t="shared" si="4"/>
        <v>0.70533152844183622</v>
      </c>
      <c r="K12" s="5">
        <f t="shared" si="5"/>
        <v>0.28117427027004471</v>
      </c>
      <c r="L12" s="5">
        <f>'Indirect Computation'!$U$6*SQRT((K12+J12)*J12)</f>
        <v>100.00000775453776</v>
      </c>
      <c r="M12" s="5">
        <f t="shared" si="6"/>
        <v>77.648096237226127</v>
      </c>
      <c r="N12" s="5">
        <f t="shared" si="7"/>
        <v>1.3228735901200802E-10</v>
      </c>
    </row>
    <row r="13" spans="2:17">
      <c r="D13" s="5">
        <f t="shared" si="8"/>
        <v>2.5184624493879411</v>
      </c>
      <c r="E13" s="5">
        <f t="shared" si="0"/>
        <v>0.70533146319325302</v>
      </c>
      <c r="F13" s="5">
        <f t="shared" si="1"/>
        <v>0.28117427378007359</v>
      </c>
      <c r="G13" s="5">
        <f>'Indirect Computation'!$U$6*SQRT((F13+E13)*E13)</f>
        <v>100.00000000000003</v>
      </c>
      <c r="H13" s="5">
        <f t="shared" si="2"/>
        <v>0</v>
      </c>
      <c r="I13" s="5">
        <f t="shared" si="3"/>
        <v>2.5184625493879409</v>
      </c>
      <c r="J13" s="5">
        <f t="shared" si="4"/>
        <v>0.70533152852826619</v>
      </c>
      <c r="K13" s="5">
        <f t="shared" si="5"/>
        <v>0.28117427026539521</v>
      </c>
      <c r="L13" s="5">
        <f>'Indirect Computation'!$U$6*SQRT((K13+J13)*J13)</f>
        <v>100.00000776480962</v>
      </c>
      <c r="M13" s="5">
        <f t="shared" si="6"/>
        <v>77.648095953009033</v>
      </c>
      <c r="N13" s="5">
        <f t="shared" si="7"/>
        <v>0</v>
      </c>
      <c r="Q13" t="s">
        <v>17</v>
      </c>
    </row>
    <row r="14" spans="2:17">
      <c r="D14" s="5">
        <f t="shared" si="8"/>
        <v>2.5184624493879411</v>
      </c>
      <c r="E14" s="5">
        <f t="shared" si="0"/>
        <v>0.70533146319325302</v>
      </c>
      <c r="F14" s="5">
        <f t="shared" si="1"/>
        <v>0.28117427378007359</v>
      </c>
      <c r="G14" s="5">
        <f>'Indirect Computation'!$U$6*SQRT((F14+E14)*E14)</f>
        <v>100.00000000000003</v>
      </c>
      <c r="H14" s="5">
        <f t="shared" si="2"/>
        <v>0</v>
      </c>
      <c r="I14" s="5">
        <f t="shared" si="3"/>
        <v>2.5184625493879409</v>
      </c>
      <c r="J14" s="5">
        <f t="shared" si="4"/>
        <v>0.70533152852826619</v>
      </c>
      <c r="K14" s="5">
        <f t="shared" si="5"/>
        <v>0.28117427026539521</v>
      </c>
      <c r="L14" s="5">
        <f>'Indirect Computation'!$U$6*SQRT((K14+J14)*J14)</f>
        <v>100.00000776480962</v>
      </c>
      <c r="M14" s="5">
        <f t="shared" si="6"/>
        <v>77.648095953009033</v>
      </c>
      <c r="N14" s="5">
        <f t="shared" si="7"/>
        <v>0</v>
      </c>
    </row>
    <row r="15" spans="2:17">
      <c r="D15" s="5">
        <f t="shared" si="8"/>
        <v>2.5184624493879411</v>
      </c>
      <c r="E15" s="5">
        <f t="shared" si="0"/>
        <v>0.70533146319325302</v>
      </c>
      <c r="F15" s="5">
        <f t="shared" si="1"/>
        <v>0.28117427378007359</v>
      </c>
      <c r="G15" s="5">
        <f>'Indirect Computation'!$U$6*SQRT((F15+E15)*E15)</f>
        <v>100.00000000000003</v>
      </c>
      <c r="H15" s="5">
        <f t="shared" si="2"/>
        <v>0</v>
      </c>
      <c r="I15" s="5">
        <f t="shared" si="3"/>
        <v>2.5184625493879409</v>
      </c>
      <c r="J15" s="5">
        <f t="shared" si="4"/>
        <v>0.70533152852826619</v>
      </c>
      <c r="K15" s="5">
        <f t="shared" si="5"/>
        <v>0.28117427026539521</v>
      </c>
      <c r="L15" s="5">
        <f>'Indirect Computation'!$U$6*SQRT((K15+J15)*J15)</f>
        <v>100.00000776480962</v>
      </c>
      <c r="M15" s="5">
        <f t="shared" si="6"/>
        <v>77.648095953009033</v>
      </c>
      <c r="N15" s="5">
        <f t="shared" si="7"/>
        <v>0</v>
      </c>
    </row>
    <row r="16" spans="2:17">
      <c r="D16" s="5">
        <f t="shared" si="8"/>
        <v>2.5184624493879411</v>
      </c>
      <c r="E16" s="5">
        <f t="shared" si="0"/>
        <v>0.70533146319325302</v>
      </c>
      <c r="F16" s="5">
        <f t="shared" si="1"/>
        <v>0.28117427378007359</v>
      </c>
      <c r="G16" s="5">
        <f>'Indirect Computation'!$U$6*SQRT((F16+E16)*E16)</f>
        <v>100.00000000000003</v>
      </c>
      <c r="H16" s="5">
        <f t="shared" si="2"/>
        <v>0</v>
      </c>
      <c r="I16" s="5">
        <f t="shared" si="3"/>
        <v>2.5184625493879409</v>
      </c>
      <c r="J16" s="5">
        <f t="shared" si="4"/>
        <v>0.70533152852826619</v>
      </c>
      <c r="K16" s="5">
        <f t="shared" si="5"/>
        <v>0.28117427026539521</v>
      </c>
      <c r="L16" s="5">
        <f>'Indirect Computation'!$U$6*SQRT((K16+J16)*J16)</f>
        <v>100.00000776480962</v>
      </c>
      <c r="M16" s="5">
        <f t="shared" si="6"/>
        <v>77.648095953009033</v>
      </c>
      <c r="N16" s="5">
        <f t="shared" si="7"/>
        <v>0</v>
      </c>
    </row>
    <row r="17" spans="4:14">
      <c r="D17" s="5">
        <f t="shared" si="8"/>
        <v>2.5184624493879411</v>
      </c>
      <c r="E17" s="5">
        <f t="shared" si="0"/>
        <v>0.70533146319325302</v>
      </c>
      <c r="F17" s="5">
        <f t="shared" si="1"/>
        <v>0.28117427378007359</v>
      </c>
      <c r="G17" s="5">
        <f>'Indirect Computation'!$U$6*SQRT((F17+E17)*E17)</f>
        <v>100.00000000000003</v>
      </c>
      <c r="H17" s="5">
        <f t="shared" si="2"/>
        <v>0</v>
      </c>
      <c r="I17" s="5">
        <f t="shared" si="3"/>
        <v>2.5184625493879409</v>
      </c>
      <c r="J17" s="5">
        <f t="shared" si="4"/>
        <v>0.70533152852826619</v>
      </c>
      <c r="K17" s="5">
        <f t="shared" si="5"/>
        <v>0.28117427026539521</v>
      </c>
      <c r="L17" s="5">
        <f>'Indirect Computation'!$U$6*SQRT((K17+J17)*J17)</f>
        <v>100.00000776480962</v>
      </c>
      <c r="M17" s="5">
        <f t="shared" si="6"/>
        <v>77.648095953009033</v>
      </c>
      <c r="N17" s="5">
        <f t="shared" si="7"/>
        <v>0</v>
      </c>
    </row>
    <row r="18" spans="4:14">
      <c r="D18" s="5">
        <f t="shared" si="8"/>
        <v>2.5184624493879411</v>
      </c>
      <c r="E18" s="5">
        <f t="shared" si="0"/>
        <v>0.70533146319325302</v>
      </c>
      <c r="F18" s="5">
        <f t="shared" si="1"/>
        <v>0.28117427378007359</v>
      </c>
      <c r="G18" s="5">
        <f>'Indirect Computation'!$U$6*SQRT((F18+E18)*E18)</f>
        <v>100.00000000000003</v>
      </c>
      <c r="H18" s="5">
        <f t="shared" si="2"/>
        <v>0</v>
      </c>
      <c r="I18" s="5">
        <f t="shared" si="3"/>
        <v>2.5184625493879409</v>
      </c>
      <c r="J18" s="5">
        <f t="shared" si="4"/>
        <v>0.70533152852826619</v>
      </c>
      <c r="K18" s="5">
        <f t="shared" si="5"/>
        <v>0.28117427026539521</v>
      </c>
      <c r="L18" s="5">
        <f>'Indirect Computation'!$U$6*SQRT((K18+J18)*J18)</f>
        <v>100.00000776480962</v>
      </c>
      <c r="M18" s="5">
        <f t="shared" si="6"/>
        <v>77.648095953009033</v>
      </c>
      <c r="N18" s="5">
        <f t="shared" si="7"/>
        <v>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C1F09-9273-44A8-8FBE-A07BCF6BEFB2}">
  <dimension ref="B3:N18"/>
  <sheetViews>
    <sheetView workbookViewId="0">
      <selection activeCell="B1" sqref="B1"/>
    </sheetView>
  </sheetViews>
  <sheetFormatPr defaultRowHeight="18.75"/>
  <cols>
    <col min="2" max="2" width="10.5" bestFit="1" customWidth="1"/>
    <col min="10" max="10" width="12.75" bestFit="1" customWidth="1"/>
    <col min="11" max="11" width="10.875" bestFit="1" customWidth="1"/>
    <col min="12" max="12" width="12.75" bestFit="1" customWidth="1"/>
    <col min="13" max="13" width="13.5" bestFit="1" customWidth="1"/>
    <col min="14" max="14" width="15.625" bestFit="1" customWidth="1"/>
  </cols>
  <sheetData>
    <row r="3" spans="2:14" s="13" customFormat="1" ht="20.25">
      <c r="B3" s="17" t="s">
        <v>11</v>
      </c>
      <c r="C3" s="17" t="s">
        <v>15</v>
      </c>
      <c r="D3" s="16" t="s">
        <v>9</v>
      </c>
      <c r="E3" s="16" t="s">
        <v>35</v>
      </c>
      <c r="F3" s="16" t="s">
        <v>46</v>
      </c>
      <c r="G3" s="16" t="s">
        <v>60</v>
      </c>
      <c r="H3" s="16" t="s">
        <v>61</v>
      </c>
      <c r="I3" s="16" t="s">
        <v>12</v>
      </c>
      <c r="J3" s="16" t="s">
        <v>36</v>
      </c>
      <c r="K3" s="16" t="s">
        <v>62</v>
      </c>
      <c r="L3" s="16" t="s">
        <v>63</v>
      </c>
      <c r="M3" s="16" t="s">
        <v>13</v>
      </c>
      <c r="N3" s="16" t="s">
        <v>14</v>
      </c>
    </row>
    <row r="4" spans="2:14">
      <c r="B4" s="41">
        <v>9.9999999999999995E-8</v>
      </c>
      <c r="C4" s="40">
        <f>'Indirect Computation'!C6</f>
        <v>100</v>
      </c>
      <c r="D4" s="41">
        <v>2</v>
      </c>
      <c r="E4" s="5">
        <f>LN(D4/2+SQRT((D4/2)^2-1))</f>
        <v>0</v>
      </c>
      <c r="F4" s="5">
        <f>LN(D4)</f>
        <v>0.69314718055994529</v>
      </c>
      <c r="G4" s="5">
        <f>'Indirect Computation'!$U$6*SQRT(F4*E4)</f>
        <v>0</v>
      </c>
      <c r="H4" s="5">
        <f>G4-$C$4</f>
        <v>-100</v>
      </c>
      <c r="I4" s="5">
        <f>D4+$B$4</f>
        <v>2.0000000999999998</v>
      </c>
      <c r="J4" s="5">
        <f>LN(I4/2+SQRT((I4/2)^2-1))</f>
        <v>3.1622776434960263E-4</v>
      </c>
      <c r="K4" s="5">
        <f>LN(I4)</f>
        <v>0.69314723055994398</v>
      </c>
      <c r="L4" s="5">
        <f>'Indirect Computation'!$U$6*SQRT(K4*J4)</f>
        <v>1.7748690196663999</v>
      </c>
      <c r="M4" s="5">
        <f t="shared" ref="M4:M18" si="0">(L4-G4)/$B$4</f>
        <v>17748690.196663998</v>
      </c>
      <c r="N4" s="5">
        <f t="shared" ref="N4:N18" si="1">-H4/M4</f>
        <v>5.6342185756780951E-6</v>
      </c>
    </row>
    <row r="5" spans="2:14">
      <c r="D5" s="5">
        <f t="shared" ref="D5:D18" si="2">IF((D4+N4)&gt;=2, D4+N4, 2)</f>
        <v>2.0000056342185757</v>
      </c>
      <c r="E5" s="5">
        <f t="shared" ref="E5" si="3">LN(D5/2+SQRT((D5/2)^2-1))</f>
        <v>2.3736503386797368E-3</v>
      </c>
      <c r="F5" s="5">
        <f t="shared" ref="F5:F18" si="4">LN(D5)</f>
        <v>0.69314999766526508</v>
      </c>
      <c r="G5" s="5">
        <f>'Indirect Computation'!$U$6*SQRT(F5*E5)</f>
        <v>4.8626784093713482</v>
      </c>
      <c r="H5" s="5">
        <f t="shared" ref="H5:H18" si="5">G5-$C$4</f>
        <v>-95.137321590628659</v>
      </c>
      <c r="I5" s="5">
        <f t="shared" ref="I5:I18" si="6">D5+$B$4</f>
        <v>2.0000057342185755</v>
      </c>
      <c r="J5" s="5">
        <f t="shared" ref="J5:J18" si="7">LN(I5/2+SQRT((I5/2)^2-1))</f>
        <v>2.3946222740592682E-3</v>
      </c>
      <c r="K5" s="5">
        <f t="shared" ref="K5:K18" si="8">LN(I5)</f>
        <v>0.69315004766512289</v>
      </c>
      <c r="L5" s="5">
        <f>'Indirect Computation'!$U$6*SQRT(K5*J5)</f>
        <v>4.8841129791343372</v>
      </c>
      <c r="M5" s="5">
        <f t="shared" si="0"/>
        <v>214345.69762988965</v>
      </c>
      <c r="N5" s="5">
        <f t="shared" si="1"/>
        <v>4.4384992394343322E-4</v>
      </c>
    </row>
    <row r="6" spans="2:14">
      <c r="D6" s="5">
        <f t="shared" si="2"/>
        <v>2.0004494841425191</v>
      </c>
      <c r="E6" s="5">
        <f t="shared" ref="E6:E18" si="9">LN(D6/2+SQRT((D6/2)^2-1))</f>
        <v>2.1200644027838927E-2</v>
      </c>
      <c r="F6" s="5">
        <f t="shared" si="4"/>
        <v>0.69337189738048877</v>
      </c>
      <c r="G6" s="5">
        <f>'Indirect Computation'!$U$6*SQRT(F6*E6)</f>
        <v>14.534871901703047</v>
      </c>
      <c r="H6" s="5">
        <f t="shared" si="5"/>
        <v>-85.465128098296958</v>
      </c>
      <c r="I6" s="5">
        <f t="shared" si="6"/>
        <v>2.0004495841425189</v>
      </c>
      <c r="J6" s="5">
        <f t="shared" si="7"/>
        <v>2.1203002138928083E-2</v>
      </c>
      <c r="K6" s="5">
        <f t="shared" si="8"/>
        <v>0.69337194736925289</v>
      </c>
      <c r="L6" s="5">
        <f>'Indirect Computation'!$U$6*SQRT(K6*J6)</f>
        <v>14.535680747575835</v>
      </c>
      <c r="M6" s="5">
        <f t="shared" si="0"/>
        <v>8088.4587278795552</v>
      </c>
      <c r="N6" s="5">
        <f t="shared" si="1"/>
        <v>1.0566305766476011E-2</v>
      </c>
    </row>
    <row r="7" spans="2:14">
      <c r="D7" s="5">
        <f t="shared" si="2"/>
        <v>2.0110157899089951</v>
      </c>
      <c r="E7" s="5">
        <f t="shared" si="9"/>
        <v>0.10490801891724526</v>
      </c>
      <c r="F7" s="5">
        <f t="shared" si="4"/>
        <v>0.69863996252945382</v>
      </c>
      <c r="G7" s="5">
        <f>'Indirect Computation'!$U$6*SQRT(F7*E7)</f>
        <v>32.455224582792297</v>
      </c>
      <c r="H7" s="5">
        <f t="shared" si="5"/>
        <v>-67.544775417207703</v>
      </c>
      <c r="I7" s="5">
        <f t="shared" si="6"/>
        <v>2.0110158899089949</v>
      </c>
      <c r="J7" s="5">
        <f t="shared" si="7"/>
        <v>0.10490849465103967</v>
      </c>
      <c r="K7" s="5">
        <f t="shared" si="8"/>
        <v>0.69864001225556638</v>
      </c>
      <c r="L7" s="5">
        <f>'Indirect Computation'!$U$6*SQRT(K7*J7)</f>
        <v>32.455299326219659</v>
      </c>
      <c r="M7" s="5">
        <f t="shared" si="0"/>
        <v>747.43427362022885</v>
      </c>
      <c r="N7" s="5">
        <f t="shared" si="1"/>
        <v>9.0368849544524885E-2</v>
      </c>
    </row>
    <row r="8" spans="2:14">
      <c r="D8" s="5">
        <f t="shared" si="2"/>
        <v>2.1013846394535198</v>
      </c>
      <c r="E8" s="5">
        <f t="shared" si="9"/>
        <v>0.31707958428832123</v>
      </c>
      <c r="F8" s="5">
        <f t="shared" si="4"/>
        <v>0.74259647957299435</v>
      </c>
      <c r="G8" s="5">
        <f>'Indirect Computation'!$U$6*SQRT(F8*E8)</f>
        <v>58.172020287429405</v>
      </c>
      <c r="H8" s="5">
        <f t="shared" si="5"/>
        <v>-41.827979712570595</v>
      </c>
      <c r="I8" s="5">
        <f t="shared" si="6"/>
        <v>2.1013847394535197</v>
      </c>
      <c r="J8" s="5">
        <f t="shared" si="7"/>
        <v>0.3170797393657383</v>
      </c>
      <c r="K8" s="5">
        <f t="shared" si="8"/>
        <v>0.74259652716066371</v>
      </c>
      <c r="L8" s="5">
        <f>'Indirect Computation'!$U$6*SQRT(K8*J8)</f>
        <v>58.172036376739491</v>
      </c>
      <c r="M8" s="5">
        <f t="shared" si="0"/>
        <v>160.89310086897513</v>
      </c>
      <c r="N8" s="5">
        <f t="shared" si="1"/>
        <v>0.25997373092233222</v>
      </c>
    </row>
    <row r="9" spans="2:14">
      <c r="D9" s="5">
        <f t="shared" si="2"/>
        <v>2.3613583703758518</v>
      </c>
      <c r="E9" s="5">
        <f t="shared" si="9"/>
        <v>0.59242922565767708</v>
      </c>
      <c r="F9" s="5">
        <f t="shared" si="4"/>
        <v>0.85923703412223451</v>
      </c>
      <c r="G9" s="5">
        <f>'Indirect Computation'!$U$6*SQRT(F9*E9)</f>
        <v>85.531934554196269</v>
      </c>
      <c r="H9" s="5">
        <f t="shared" si="5"/>
        <v>-14.468065445803731</v>
      </c>
      <c r="I9" s="5">
        <f t="shared" si="6"/>
        <v>2.3613584703758517</v>
      </c>
      <c r="J9" s="5">
        <f t="shared" si="7"/>
        <v>0.5924293053139571</v>
      </c>
      <c r="K9" s="5">
        <f t="shared" si="8"/>
        <v>0.85923707647073999</v>
      </c>
      <c r="L9" s="5">
        <f>'Indirect Computation'!$U$6*SQRT(K9*J9)</f>
        <v>85.531942412152432</v>
      </c>
      <c r="M9" s="5">
        <f t="shared" si="0"/>
        <v>78.579561630931494</v>
      </c>
      <c r="N9" s="5">
        <f t="shared" si="1"/>
        <v>0.18411995620129071</v>
      </c>
    </row>
    <row r="10" spans="2:14">
      <c r="D10" s="5">
        <f t="shared" si="2"/>
        <v>2.5454783265771423</v>
      </c>
      <c r="E10" s="5">
        <f t="shared" si="9"/>
        <v>0.72273229644483306</v>
      </c>
      <c r="F10" s="5">
        <f t="shared" si="4"/>
        <v>0.93431857991706901</v>
      </c>
      <c r="G10" s="5">
        <f>'Indirect Computation'!$U$6*SQRT(F10*E10)</f>
        <v>98.512147756842509</v>
      </c>
      <c r="H10" s="5">
        <f t="shared" si="5"/>
        <v>-1.4878522431574908</v>
      </c>
      <c r="I10" s="5">
        <f t="shared" si="6"/>
        <v>2.5454784265771422</v>
      </c>
      <c r="J10" s="5">
        <f t="shared" si="7"/>
        <v>0.72273235995180896</v>
      </c>
      <c r="K10" s="5">
        <f t="shared" si="8"/>
        <v>0.93431861920241543</v>
      </c>
      <c r="L10" s="5">
        <f>'Indirect Computation'!$U$6*SQRT(K10*J10)</f>
        <v>98.512154156079959</v>
      </c>
      <c r="M10" s="5">
        <f t="shared" si="0"/>
        <v>63.992374492727322</v>
      </c>
      <c r="N10" s="5">
        <f t="shared" si="1"/>
        <v>2.3250461558143681E-2</v>
      </c>
    </row>
    <row r="11" spans="2:14">
      <c r="D11" s="5">
        <f t="shared" si="2"/>
        <v>2.568728788135286</v>
      </c>
      <c r="E11" s="5">
        <f t="shared" si="9"/>
        <v>0.7373253133901394</v>
      </c>
      <c r="F11" s="5">
        <f t="shared" si="4"/>
        <v>0.9434111415680837</v>
      </c>
      <c r="G11" s="5">
        <f>'Indirect Computation'!$U$6*SQRT(F11*E11)</f>
        <v>99.984720364738678</v>
      </c>
      <c r="H11" s="5">
        <f t="shared" si="5"/>
        <v>-1.5279635261322255E-2</v>
      </c>
      <c r="I11" s="5">
        <f t="shared" si="6"/>
        <v>2.5687288881352859</v>
      </c>
      <c r="J11" s="5">
        <f t="shared" si="7"/>
        <v>0.73732537542698162</v>
      </c>
      <c r="K11" s="5">
        <f t="shared" si="8"/>
        <v>0.94341118049784478</v>
      </c>
      <c r="L11" s="5">
        <f>'Indirect Computation'!$U$6*SQRT(K11*J11)</f>
        <v>99.984726633909389</v>
      </c>
      <c r="M11" s="5">
        <f t="shared" si="0"/>
        <v>62.691707114481687</v>
      </c>
      <c r="N11" s="5">
        <f t="shared" si="1"/>
        <v>2.4372657827645411E-4</v>
      </c>
    </row>
    <row r="12" spans="2:14">
      <c r="D12" s="5">
        <f t="shared" si="2"/>
        <v>2.5689725147135625</v>
      </c>
      <c r="E12" s="5">
        <f t="shared" si="9"/>
        <v>0.73747649545869742</v>
      </c>
      <c r="F12" s="5">
        <f t="shared" si="4"/>
        <v>0.94350601924356248</v>
      </c>
      <c r="G12" s="5">
        <f>'Indirect Computation'!$U$6*SQRT(F12*E12)</f>
        <v>99.999998390947795</v>
      </c>
      <c r="H12" s="5">
        <f t="shared" si="5"/>
        <v>-1.6090522052536471E-6</v>
      </c>
      <c r="I12" s="5">
        <f t="shared" si="6"/>
        <v>2.5689726147135623</v>
      </c>
      <c r="J12" s="5">
        <f t="shared" si="7"/>
        <v>0.7374765574805966</v>
      </c>
      <c r="K12" s="5">
        <f t="shared" si="8"/>
        <v>0.94350605816963018</v>
      </c>
      <c r="L12" s="5">
        <f>'Indirect Computation'!$U$6*SQRT(K12*J12)</f>
        <v>100.00000465879774</v>
      </c>
      <c r="M12" s="5">
        <f t="shared" si="0"/>
        <v>62.678499404000831</v>
      </c>
      <c r="N12" s="5">
        <f t="shared" si="1"/>
        <v>2.5671517674383566E-8</v>
      </c>
    </row>
    <row r="13" spans="2:14">
      <c r="D13" s="5">
        <f t="shared" si="2"/>
        <v>2.5689725403850803</v>
      </c>
      <c r="E13" s="5">
        <f t="shared" si="9"/>
        <v>0.73747651138066084</v>
      </c>
      <c r="F13" s="5">
        <f t="shared" si="4"/>
        <v>0.94350602923647509</v>
      </c>
      <c r="G13" s="5">
        <f>'Indirect Computation'!$U$6*SQRT(F13*E13)</f>
        <v>100.00000000000006</v>
      </c>
      <c r="H13" s="5">
        <f t="shared" si="5"/>
        <v>0</v>
      </c>
      <c r="I13" s="5">
        <f t="shared" si="6"/>
        <v>2.5689726403850801</v>
      </c>
      <c r="J13" s="5">
        <f t="shared" si="7"/>
        <v>0.73747657340255846</v>
      </c>
      <c r="K13" s="5">
        <f t="shared" si="8"/>
        <v>0.94350606816254234</v>
      </c>
      <c r="L13" s="5">
        <f>'Indirect Computation'!$U$6*SQRT(K13*J13)</f>
        <v>100.00000626784986</v>
      </c>
      <c r="M13" s="5">
        <f t="shared" si="0"/>
        <v>62.67849798291536</v>
      </c>
      <c r="N13" s="5">
        <f t="shared" si="1"/>
        <v>0</v>
      </c>
    </row>
    <row r="14" spans="2:14">
      <c r="D14" s="5">
        <f t="shared" si="2"/>
        <v>2.5689725403850803</v>
      </c>
      <c r="E14" s="5">
        <f t="shared" si="9"/>
        <v>0.73747651138066084</v>
      </c>
      <c r="F14" s="5">
        <f t="shared" si="4"/>
        <v>0.94350602923647509</v>
      </c>
      <c r="G14" s="5">
        <f>'Indirect Computation'!$U$6*SQRT(F14*E14)</f>
        <v>100.00000000000006</v>
      </c>
      <c r="H14" s="5">
        <f t="shared" si="5"/>
        <v>0</v>
      </c>
      <c r="I14" s="5">
        <f t="shared" si="6"/>
        <v>2.5689726403850801</v>
      </c>
      <c r="J14" s="5">
        <f t="shared" si="7"/>
        <v>0.73747657340255846</v>
      </c>
      <c r="K14" s="5">
        <f t="shared" si="8"/>
        <v>0.94350606816254234</v>
      </c>
      <c r="L14" s="5">
        <f>'Indirect Computation'!$U$6*SQRT(K14*J14)</f>
        <v>100.00000626784986</v>
      </c>
      <c r="M14" s="5">
        <f t="shared" si="0"/>
        <v>62.67849798291536</v>
      </c>
      <c r="N14" s="5">
        <f t="shared" si="1"/>
        <v>0</v>
      </c>
    </row>
    <row r="15" spans="2:14">
      <c r="D15" s="5">
        <f t="shared" si="2"/>
        <v>2.5689725403850803</v>
      </c>
      <c r="E15" s="5">
        <f t="shared" si="9"/>
        <v>0.73747651138066084</v>
      </c>
      <c r="F15" s="5">
        <f t="shared" si="4"/>
        <v>0.94350602923647509</v>
      </c>
      <c r="G15" s="5">
        <f>'Indirect Computation'!$U$6*SQRT(F15*E15)</f>
        <v>100.00000000000006</v>
      </c>
      <c r="H15" s="5">
        <f t="shared" si="5"/>
        <v>0</v>
      </c>
      <c r="I15" s="5">
        <f t="shared" si="6"/>
        <v>2.5689726403850801</v>
      </c>
      <c r="J15" s="5">
        <f t="shared" si="7"/>
        <v>0.73747657340255846</v>
      </c>
      <c r="K15" s="5">
        <f t="shared" si="8"/>
        <v>0.94350606816254234</v>
      </c>
      <c r="L15" s="5">
        <f>'Indirect Computation'!$U$6*SQRT(K15*J15)</f>
        <v>100.00000626784986</v>
      </c>
      <c r="M15" s="5">
        <f t="shared" si="0"/>
        <v>62.67849798291536</v>
      </c>
      <c r="N15" s="5">
        <f t="shared" si="1"/>
        <v>0</v>
      </c>
    </row>
    <row r="16" spans="2:14">
      <c r="D16" s="5">
        <f t="shared" si="2"/>
        <v>2.5689725403850803</v>
      </c>
      <c r="E16" s="5">
        <f t="shared" si="9"/>
        <v>0.73747651138066084</v>
      </c>
      <c r="F16" s="5">
        <f t="shared" si="4"/>
        <v>0.94350602923647509</v>
      </c>
      <c r="G16" s="5">
        <f>'Indirect Computation'!$U$6*SQRT(F16*E16)</f>
        <v>100.00000000000006</v>
      </c>
      <c r="H16" s="5">
        <f t="shared" si="5"/>
        <v>0</v>
      </c>
      <c r="I16" s="5">
        <f t="shared" si="6"/>
        <v>2.5689726403850801</v>
      </c>
      <c r="J16" s="5">
        <f t="shared" si="7"/>
        <v>0.73747657340255846</v>
      </c>
      <c r="K16" s="5">
        <f t="shared" si="8"/>
        <v>0.94350606816254234</v>
      </c>
      <c r="L16" s="5">
        <f>'Indirect Computation'!$U$6*SQRT(K16*J16)</f>
        <v>100.00000626784986</v>
      </c>
      <c r="M16" s="5">
        <f t="shared" si="0"/>
        <v>62.67849798291536</v>
      </c>
      <c r="N16" s="5">
        <f t="shared" si="1"/>
        <v>0</v>
      </c>
    </row>
    <row r="17" spans="4:14">
      <c r="D17" s="5">
        <f t="shared" si="2"/>
        <v>2.5689725403850803</v>
      </c>
      <c r="E17" s="5">
        <f t="shared" si="9"/>
        <v>0.73747651138066084</v>
      </c>
      <c r="F17" s="5">
        <f t="shared" si="4"/>
        <v>0.94350602923647509</v>
      </c>
      <c r="G17" s="5">
        <f>'Indirect Computation'!$U$6*SQRT(F17*E17)</f>
        <v>100.00000000000006</v>
      </c>
      <c r="H17" s="5">
        <f t="shared" si="5"/>
        <v>0</v>
      </c>
      <c r="I17" s="5">
        <f t="shared" si="6"/>
        <v>2.5689726403850801</v>
      </c>
      <c r="J17" s="5">
        <f t="shared" si="7"/>
        <v>0.73747657340255846</v>
      </c>
      <c r="K17" s="5">
        <f t="shared" si="8"/>
        <v>0.94350606816254234</v>
      </c>
      <c r="L17" s="5">
        <f>'Indirect Computation'!$U$6*SQRT(K17*J17)</f>
        <v>100.00000626784986</v>
      </c>
      <c r="M17" s="5">
        <f t="shared" si="0"/>
        <v>62.67849798291536</v>
      </c>
      <c r="N17" s="5">
        <f t="shared" si="1"/>
        <v>0</v>
      </c>
    </row>
    <row r="18" spans="4:14">
      <c r="D18" s="5">
        <f t="shared" si="2"/>
        <v>2.5689725403850803</v>
      </c>
      <c r="E18" s="5">
        <f t="shared" si="9"/>
        <v>0.73747651138066084</v>
      </c>
      <c r="F18" s="5">
        <f t="shared" si="4"/>
        <v>0.94350602923647509</v>
      </c>
      <c r="G18" s="5">
        <f>'Indirect Computation'!$U$6*SQRT(F18*E18)</f>
        <v>100.00000000000006</v>
      </c>
      <c r="H18" s="5">
        <f t="shared" si="5"/>
        <v>0</v>
      </c>
      <c r="I18" s="5">
        <f t="shared" si="6"/>
        <v>2.5689726403850801</v>
      </c>
      <c r="J18" s="5">
        <f t="shared" si="7"/>
        <v>0.73747657340255846</v>
      </c>
      <c r="K18" s="5">
        <f t="shared" si="8"/>
        <v>0.94350606816254234</v>
      </c>
      <c r="L18" s="5">
        <f>'Indirect Computation'!$U$6*SQRT(K18*J18)</f>
        <v>100.00000626784986</v>
      </c>
      <c r="M18" s="5">
        <f t="shared" si="0"/>
        <v>62.67849798291536</v>
      </c>
      <c r="N18" s="5">
        <f t="shared" si="1"/>
        <v>0</v>
      </c>
    </row>
  </sheetData>
  <phoneticPr fontId="1"/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283D2-D22D-408E-9475-E28260B4FC67}">
  <dimension ref="B3:N18"/>
  <sheetViews>
    <sheetView workbookViewId="0">
      <selection activeCell="B1" sqref="B1"/>
    </sheetView>
  </sheetViews>
  <sheetFormatPr defaultRowHeight="18.75"/>
  <cols>
    <col min="2" max="2" width="10.5" bestFit="1" customWidth="1"/>
    <col min="10" max="10" width="12.75" bestFit="1" customWidth="1"/>
    <col min="11" max="11" width="10.875" bestFit="1" customWidth="1"/>
    <col min="12" max="12" width="12.75" bestFit="1" customWidth="1"/>
    <col min="13" max="13" width="13.5" bestFit="1" customWidth="1"/>
    <col min="14" max="14" width="15.625" bestFit="1" customWidth="1"/>
    <col min="19" max="20" width="11.125" bestFit="1" customWidth="1"/>
    <col min="21" max="21" width="15.125" bestFit="1" customWidth="1"/>
  </cols>
  <sheetData>
    <row r="3" spans="2:14" s="13" customFormat="1" ht="20.25">
      <c r="B3" s="17" t="s">
        <v>11</v>
      </c>
      <c r="C3" s="17" t="s">
        <v>15</v>
      </c>
      <c r="D3" s="16" t="s">
        <v>9</v>
      </c>
      <c r="E3" s="16" t="s">
        <v>35</v>
      </c>
      <c r="F3" s="16" t="s">
        <v>67</v>
      </c>
      <c r="G3" s="16" t="s">
        <v>68</v>
      </c>
      <c r="H3" s="16" t="s">
        <v>69</v>
      </c>
      <c r="I3" s="16" t="s">
        <v>12</v>
      </c>
      <c r="J3" s="16" t="s">
        <v>36</v>
      </c>
      <c r="K3" s="16" t="s">
        <v>70</v>
      </c>
      <c r="L3" s="16" t="s">
        <v>71</v>
      </c>
      <c r="M3" s="16" t="s">
        <v>13</v>
      </c>
      <c r="N3" s="16" t="s">
        <v>14</v>
      </c>
    </row>
    <row r="4" spans="2:14">
      <c r="B4" s="41">
        <v>9.9999999999999995E-8</v>
      </c>
      <c r="C4" s="40">
        <f>'Indirect Computation'!C6</f>
        <v>100</v>
      </c>
      <c r="D4" s="41">
        <v>2</v>
      </c>
      <c r="E4" s="5">
        <f>LN(D4/2+SQRT((D4/2)^2-1))</f>
        <v>0</v>
      </c>
      <c r="F4" s="5">
        <f>LN(D4+1/4)</f>
        <v>0.81093021621632877</v>
      </c>
      <c r="G4" s="5">
        <f>'Indirect Computation'!$U$6*SQRT(F4*E4)</f>
        <v>0</v>
      </c>
      <c r="H4" s="5">
        <f>G4-$C$4</f>
        <v>-100</v>
      </c>
      <c r="I4" s="5">
        <f>D4+$B$4</f>
        <v>2.0000000999999998</v>
      </c>
      <c r="J4" s="5">
        <f>LN(I4/2+SQRT((I4/2)^2-1))</f>
        <v>3.1622776434960263E-4</v>
      </c>
      <c r="K4" s="5">
        <f>LN(I4+1/4)</f>
        <v>0.81093026066077212</v>
      </c>
      <c r="L4" s="5">
        <f>'Indirect Computation'!$U$6*SQRT(K4*J4)</f>
        <v>1.9197528283443046</v>
      </c>
      <c r="M4" s="5">
        <f>(L4-G4)/$B$4</f>
        <v>19197528.283443049</v>
      </c>
      <c r="N4" s="5">
        <f>-H4/M4</f>
        <v>5.2090039156887305E-6</v>
      </c>
    </row>
    <row r="5" spans="2:14">
      <c r="D5" s="5">
        <f>IF((D4+N4)&gt;=2, D4+N4, 2)</f>
        <v>2.0000052090039158</v>
      </c>
      <c r="E5" s="5">
        <f t="shared" ref="E5:E18" si="0">LN(D5/2+SQRT((D5/2)^2-1))</f>
        <v>2.282323740106409E-3</v>
      </c>
      <c r="F5" s="5">
        <f t="shared" ref="F5:F18" si="1">LN(D5+1/4)</f>
        <v>0.81093253132650034</v>
      </c>
      <c r="G5" s="5">
        <f>'Indirect Computation'!$U$6*SQRT(F5*E5)</f>
        <v>5.1574443332172928</v>
      </c>
      <c r="H5" s="5">
        <f t="shared" ref="H5:H18" si="2">G5-$C$4</f>
        <v>-94.842555666782701</v>
      </c>
      <c r="I5" s="5">
        <f t="shared" ref="I5:I18" si="3">D5+$B$4</f>
        <v>2.0000053090039156</v>
      </c>
      <c r="J5" s="5">
        <f t="shared" ref="J5:J18" si="4">LN(I5/2+SQRT((I5/2)^2-1))</f>
        <v>2.3041270726220893E-3</v>
      </c>
      <c r="K5" s="5">
        <f t="shared" ref="K5:K18" si="5">LN(I5+1/4)</f>
        <v>0.81093257577084088</v>
      </c>
      <c r="L5" s="5">
        <f>'Indirect Computation'!$U$6*SQRT(K5*J5)</f>
        <v>5.1820207844173645</v>
      </c>
      <c r="M5" s="5">
        <f t="shared" ref="M5:M18" si="6">(L5-G5)/$B$4</f>
        <v>245764.51200071682</v>
      </c>
      <c r="N5" s="5">
        <f t="shared" ref="N5:N18" si="7">-H5/M5</f>
        <v>3.8590826191580531E-4</v>
      </c>
    </row>
    <row r="6" spans="2:14">
      <c r="D6" s="5">
        <f t="shared" ref="D6:D18" si="8">IF((D5+N5)&gt;=2, D5+N5, 2)</f>
        <v>2.0003911172658317</v>
      </c>
      <c r="E6" s="5">
        <f t="shared" si="0"/>
        <v>1.9776362627392189E-2</v>
      </c>
      <c r="F6" s="5">
        <f t="shared" si="1"/>
        <v>0.81110403100558826</v>
      </c>
      <c r="G6" s="5">
        <f>'Indirect Computation'!$U$6*SQRT(F6*E6)</f>
        <v>15.183260808844821</v>
      </c>
      <c r="H6" s="5">
        <f t="shared" si="2"/>
        <v>-84.816739191155179</v>
      </c>
      <c r="I6" s="5">
        <f t="shared" si="3"/>
        <v>2.0003912172658316</v>
      </c>
      <c r="J6" s="5">
        <f t="shared" si="4"/>
        <v>1.9778890571793956E-2</v>
      </c>
      <c r="K6" s="5">
        <f t="shared" si="5"/>
        <v>0.81110407544230723</v>
      </c>
      <c r="L6" s="5">
        <f>'Indirect Computation'!$U$6*SQRT(K6*J6)</f>
        <v>15.184231605771886</v>
      </c>
      <c r="M6" s="5">
        <f t="shared" si="6"/>
        <v>9707.9692706536498</v>
      </c>
      <c r="N6" s="5">
        <f t="shared" si="7"/>
        <v>8.7368157877826032E-3</v>
      </c>
    </row>
    <row r="7" spans="2:14">
      <c r="D7" s="5">
        <f t="shared" si="8"/>
        <v>2.0091279330536143</v>
      </c>
      <c r="E7" s="5">
        <f t="shared" si="0"/>
        <v>9.5503917344286912E-2</v>
      </c>
      <c r="F7" s="5">
        <f t="shared" si="1"/>
        <v>0.81497886848682244</v>
      </c>
      <c r="G7" s="5">
        <f>'Indirect Computation'!$U$6*SQRT(F7*E7)</f>
        <v>33.44547210715146</v>
      </c>
      <c r="H7" s="5">
        <f t="shared" si="2"/>
        <v>-66.55452789284854</v>
      </c>
      <c r="I7" s="5">
        <f t="shared" si="3"/>
        <v>2.0091280330536141</v>
      </c>
      <c r="J7" s="5">
        <f t="shared" si="4"/>
        <v>9.5504440086565293E-2</v>
      </c>
      <c r="K7" s="5">
        <f t="shared" si="5"/>
        <v>0.81497891275168943</v>
      </c>
      <c r="L7" s="5">
        <f>'Indirect Computation'!$U$6*SQRT(K7*J7)</f>
        <v>33.445564547483158</v>
      </c>
      <c r="M7" s="5">
        <f t="shared" si="6"/>
        <v>924.40331698639966</v>
      </c>
      <c r="N7" s="5">
        <f t="shared" si="7"/>
        <v>7.1997283728729558E-2</v>
      </c>
    </row>
    <row r="8" spans="2:14">
      <c r="D8" s="5">
        <f t="shared" si="8"/>
        <v>2.0811252167823437</v>
      </c>
      <c r="E8" s="5">
        <f t="shared" si="0"/>
        <v>0.28387080006492782</v>
      </c>
      <c r="F8" s="5">
        <f t="shared" si="1"/>
        <v>0.84635107666420062</v>
      </c>
      <c r="G8" s="5">
        <f>'Indirect Computation'!$U$6*SQRT(F8*E8)</f>
        <v>58.761003001181571</v>
      </c>
      <c r="H8" s="5">
        <f t="shared" si="2"/>
        <v>-41.238996998818429</v>
      </c>
      <c r="I8" s="5">
        <f t="shared" si="3"/>
        <v>2.0811253167823436</v>
      </c>
      <c r="J8" s="5">
        <f t="shared" si="4"/>
        <v>0.28387097385780286</v>
      </c>
      <c r="K8" s="5">
        <f t="shared" si="5"/>
        <v>0.8463511195619382</v>
      </c>
      <c r="L8" s="5">
        <f>'Indirect Computation'!$U$6*SQRT(K8*J8)</f>
        <v>58.761022477830259</v>
      </c>
      <c r="M8" s="5">
        <f t="shared" si="6"/>
        <v>194.76648688510068</v>
      </c>
      <c r="N8" s="5">
        <f t="shared" si="7"/>
        <v>0.21173558992798749</v>
      </c>
    </row>
    <row r="9" spans="2:14">
      <c r="D9" s="5">
        <f t="shared" si="8"/>
        <v>2.2928608067103311</v>
      </c>
      <c r="E9" s="5">
        <f t="shared" si="0"/>
        <v>0.53477109058332828</v>
      </c>
      <c r="F9" s="5">
        <f t="shared" si="1"/>
        <v>0.93328974908282958</v>
      </c>
      <c r="G9" s="5">
        <f>'Indirect Computation'!$U$6*SQRT(F9*E9)</f>
        <v>84.692659839672203</v>
      </c>
      <c r="H9" s="5">
        <f t="shared" si="2"/>
        <v>-15.307340160327797</v>
      </c>
      <c r="I9" s="5">
        <f t="shared" si="3"/>
        <v>2.2928609067103309</v>
      </c>
      <c r="J9" s="5">
        <f t="shared" si="4"/>
        <v>0.53477117976917266</v>
      </c>
      <c r="K9" s="5">
        <f t="shared" si="5"/>
        <v>0.93328978840861476</v>
      </c>
      <c r="L9" s="5">
        <f>'Indirect Computation'!$U$6*SQRT(K9*J9)</f>
        <v>84.692668686269556</v>
      </c>
      <c r="M9" s="5">
        <f t="shared" si="6"/>
        <v>88.465973533402575</v>
      </c>
      <c r="N9" s="5">
        <f t="shared" si="7"/>
        <v>0.17303082246134013</v>
      </c>
    </row>
    <row r="10" spans="2:14">
      <c r="D10" s="5">
        <f t="shared" si="8"/>
        <v>2.4658916291716713</v>
      </c>
      <c r="E10" s="5">
        <f t="shared" si="0"/>
        <v>0.66996237787548663</v>
      </c>
      <c r="F10" s="5">
        <f t="shared" si="1"/>
        <v>0.99912030800630514</v>
      </c>
      <c r="G10" s="5">
        <f>'Indirect Computation'!$U$6*SQRT(F10*E10)</f>
        <v>98.081627749637306</v>
      </c>
      <c r="H10" s="5">
        <f t="shared" si="2"/>
        <v>-1.9183722503626939</v>
      </c>
      <c r="I10" s="5">
        <f t="shared" si="3"/>
        <v>2.4658917291716711</v>
      </c>
      <c r="J10" s="5">
        <f t="shared" si="4"/>
        <v>0.66996244720264986</v>
      </c>
      <c r="K10" s="5">
        <f t="shared" si="5"/>
        <v>0.99912034482662482</v>
      </c>
      <c r="L10" s="5">
        <f>'Indirect Computation'!$U$6*SQRT(K10*J10)</f>
        <v>98.0816346316292</v>
      </c>
      <c r="M10" s="5">
        <f t="shared" si="6"/>
        <v>68.819918936924296</v>
      </c>
      <c r="N10" s="5">
        <f t="shared" si="7"/>
        <v>2.7875247166753346E-2</v>
      </c>
    </row>
    <row r="11" spans="2:14">
      <c r="D11" s="5">
        <f t="shared" si="8"/>
        <v>2.4937668763384244</v>
      </c>
      <c r="E11" s="5">
        <f t="shared" si="0"/>
        <v>0.68897728683755743</v>
      </c>
      <c r="F11" s="5">
        <f t="shared" si="1"/>
        <v>1.0093317486519222</v>
      </c>
      <c r="G11" s="5">
        <f>'Indirect Computation'!$U$6*SQRT(F11*E11)</f>
        <v>99.970757632437227</v>
      </c>
      <c r="H11" s="5">
        <f t="shared" si="2"/>
        <v>-2.9242367562773097E-2</v>
      </c>
      <c r="I11" s="5">
        <f t="shared" si="3"/>
        <v>2.4937669763384243</v>
      </c>
      <c r="J11" s="5">
        <f t="shared" si="4"/>
        <v>0.68897735397019799</v>
      </c>
      <c r="K11" s="5">
        <f t="shared" si="5"/>
        <v>1.0093317850981667</v>
      </c>
      <c r="L11" s="5">
        <f>'Indirect Computation'!$U$6*SQRT(K11*J11)</f>
        <v>99.970764307853841</v>
      </c>
      <c r="M11" s="5">
        <f t="shared" si="6"/>
        <v>66.754166141436144</v>
      </c>
      <c r="N11" s="5">
        <f t="shared" si="7"/>
        <v>4.3806056240468201E-4</v>
      </c>
    </row>
    <row r="12" spans="2:14">
      <c r="D12" s="5">
        <f t="shared" si="8"/>
        <v>2.4942049369008292</v>
      </c>
      <c r="E12" s="5">
        <f t="shared" si="0"/>
        <v>0.68927129611554461</v>
      </c>
      <c r="F12" s="5">
        <f t="shared" si="1"/>
        <v>1.0094913925343045</v>
      </c>
      <c r="G12" s="5">
        <f>'Indirect Computation'!$U$6*SQRT(F12*E12)</f>
        <v>99.999993219567685</v>
      </c>
      <c r="H12" s="5">
        <f t="shared" si="2"/>
        <v>-6.7804323151676726E-6</v>
      </c>
      <c r="I12" s="5">
        <f t="shared" si="3"/>
        <v>2.4942050369008291</v>
      </c>
      <c r="J12" s="5">
        <f t="shared" si="4"/>
        <v>0.68927136321515492</v>
      </c>
      <c r="K12" s="5">
        <f t="shared" si="5"/>
        <v>1.009491428974731</v>
      </c>
      <c r="L12" s="5">
        <f>'Indirect Computation'!$U$6*SQRT(K12*J12)</f>
        <v>99.999999891888635</v>
      </c>
      <c r="M12" s="5">
        <f t="shared" si="6"/>
        <v>66.723209499741643</v>
      </c>
      <c r="N12" s="5">
        <f t="shared" si="7"/>
        <v>1.0162029623580873E-7</v>
      </c>
    </row>
    <row r="13" spans="2:14">
      <c r="D13" s="5">
        <f t="shared" si="8"/>
        <v>2.4942050385211254</v>
      </c>
      <c r="E13" s="5">
        <f t="shared" si="0"/>
        <v>0.68927136430236746</v>
      </c>
      <c r="F13" s="5">
        <f t="shared" si="1"/>
        <v>1.0094914295651738</v>
      </c>
      <c r="G13" s="5">
        <f>'Indirect Computation'!$U$6*SQRT(F13*E13)</f>
        <v>100</v>
      </c>
      <c r="H13" s="5">
        <f t="shared" si="2"/>
        <v>0</v>
      </c>
      <c r="I13" s="5">
        <f t="shared" si="3"/>
        <v>2.4942051385211252</v>
      </c>
      <c r="J13" s="5">
        <f t="shared" si="4"/>
        <v>0.68927143140197034</v>
      </c>
      <c r="K13" s="5">
        <f t="shared" si="5"/>
        <v>1.0094914660055989</v>
      </c>
      <c r="L13" s="5">
        <f>'Indirect Computation'!$U$6*SQRT(K13*J13)</f>
        <v>100.00000667232027</v>
      </c>
      <c r="M13" s="5">
        <f t="shared" si="6"/>
        <v>66.723202678531379</v>
      </c>
      <c r="N13" s="5">
        <f t="shared" si="7"/>
        <v>0</v>
      </c>
    </row>
    <row r="14" spans="2:14">
      <c r="D14" s="5">
        <f t="shared" si="8"/>
        <v>2.4942050385211254</v>
      </c>
      <c r="E14" s="5">
        <f t="shared" si="0"/>
        <v>0.68927136430236746</v>
      </c>
      <c r="F14" s="5">
        <f t="shared" si="1"/>
        <v>1.0094914295651738</v>
      </c>
      <c r="G14" s="5">
        <f>'Indirect Computation'!$U$6*SQRT(F14*E14)</f>
        <v>100</v>
      </c>
      <c r="H14" s="5">
        <f t="shared" si="2"/>
        <v>0</v>
      </c>
      <c r="I14" s="5">
        <f t="shared" si="3"/>
        <v>2.4942051385211252</v>
      </c>
      <c r="J14" s="5">
        <f t="shared" si="4"/>
        <v>0.68927143140197034</v>
      </c>
      <c r="K14" s="5">
        <f t="shared" si="5"/>
        <v>1.0094914660055989</v>
      </c>
      <c r="L14" s="5">
        <f>'Indirect Computation'!$U$6*SQRT(K14*J14)</f>
        <v>100.00000667232027</v>
      </c>
      <c r="M14" s="5">
        <f t="shared" si="6"/>
        <v>66.723202678531379</v>
      </c>
      <c r="N14" s="5">
        <f t="shared" si="7"/>
        <v>0</v>
      </c>
    </row>
    <row r="15" spans="2:14">
      <c r="D15" s="5">
        <f t="shared" si="8"/>
        <v>2.4942050385211254</v>
      </c>
      <c r="E15" s="5">
        <f t="shared" si="0"/>
        <v>0.68927136430236746</v>
      </c>
      <c r="F15" s="5">
        <f t="shared" si="1"/>
        <v>1.0094914295651738</v>
      </c>
      <c r="G15" s="5">
        <f>'Indirect Computation'!$U$6*SQRT(F15*E15)</f>
        <v>100</v>
      </c>
      <c r="H15" s="5">
        <f t="shared" si="2"/>
        <v>0</v>
      </c>
      <c r="I15" s="5">
        <f t="shared" si="3"/>
        <v>2.4942051385211252</v>
      </c>
      <c r="J15" s="5">
        <f t="shared" si="4"/>
        <v>0.68927143140197034</v>
      </c>
      <c r="K15" s="5">
        <f t="shared" si="5"/>
        <v>1.0094914660055989</v>
      </c>
      <c r="L15" s="5">
        <f>'Indirect Computation'!$U$6*SQRT(K15*J15)</f>
        <v>100.00000667232027</v>
      </c>
      <c r="M15" s="5">
        <f t="shared" si="6"/>
        <v>66.723202678531379</v>
      </c>
      <c r="N15" s="5">
        <f t="shared" si="7"/>
        <v>0</v>
      </c>
    </row>
    <row r="16" spans="2:14">
      <c r="D16" s="5">
        <f t="shared" si="8"/>
        <v>2.4942050385211254</v>
      </c>
      <c r="E16" s="5">
        <f t="shared" si="0"/>
        <v>0.68927136430236746</v>
      </c>
      <c r="F16" s="5">
        <f t="shared" si="1"/>
        <v>1.0094914295651738</v>
      </c>
      <c r="G16" s="5">
        <f>'Indirect Computation'!$U$6*SQRT(F16*E16)</f>
        <v>100</v>
      </c>
      <c r="H16" s="5">
        <f t="shared" si="2"/>
        <v>0</v>
      </c>
      <c r="I16" s="5">
        <f t="shared" si="3"/>
        <v>2.4942051385211252</v>
      </c>
      <c r="J16" s="5">
        <f t="shared" si="4"/>
        <v>0.68927143140197034</v>
      </c>
      <c r="K16" s="5">
        <f t="shared" si="5"/>
        <v>1.0094914660055989</v>
      </c>
      <c r="L16" s="5">
        <f>'Indirect Computation'!$U$6*SQRT(K16*J16)</f>
        <v>100.00000667232027</v>
      </c>
      <c r="M16" s="5">
        <f t="shared" si="6"/>
        <v>66.723202678531379</v>
      </c>
      <c r="N16" s="5">
        <f t="shared" si="7"/>
        <v>0</v>
      </c>
    </row>
    <row r="17" spans="4:14">
      <c r="D17" s="5">
        <f t="shared" si="8"/>
        <v>2.4942050385211254</v>
      </c>
      <c r="E17" s="5">
        <f t="shared" si="0"/>
        <v>0.68927136430236746</v>
      </c>
      <c r="F17" s="5">
        <f t="shared" si="1"/>
        <v>1.0094914295651738</v>
      </c>
      <c r="G17" s="5">
        <f>'Indirect Computation'!$U$6*SQRT(F17*E17)</f>
        <v>100</v>
      </c>
      <c r="H17" s="5">
        <f t="shared" si="2"/>
        <v>0</v>
      </c>
      <c r="I17" s="5">
        <f t="shared" si="3"/>
        <v>2.4942051385211252</v>
      </c>
      <c r="J17" s="5">
        <f t="shared" si="4"/>
        <v>0.68927143140197034</v>
      </c>
      <c r="K17" s="5">
        <f t="shared" si="5"/>
        <v>1.0094914660055989</v>
      </c>
      <c r="L17" s="5">
        <f>'Indirect Computation'!$U$6*SQRT(K17*J17)</f>
        <v>100.00000667232027</v>
      </c>
      <c r="M17" s="5">
        <f t="shared" si="6"/>
        <v>66.723202678531379</v>
      </c>
      <c r="N17" s="5">
        <f t="shared" si="7"/>
        <v>0</v>
      </c>
    </row>
    <row r="18" spans="4:14">
      <c r="D18" s="5">
        <f t="shared" si="8"/>
        <v>2.4942050385211254</v>
      </c>
      <c r="E18" s="5">
        <f t="shared" si="0"/>
        <v>0.68927136430236746</v>
      </c>
      <c r="F18" s="5">
        <f t="shared" si="1"/>
        <v>1.0094914295651738</v>
      </c>
      <c r="G18" s="5">
        <f>'Indirect Computation'!$U$6*SQRT(F18*E18)</f>
        <v>100</v>
      </c>
      <c r="H18" s="5">
        <f t="shared" si="2"/>
        <v>0</v>
      </c>
      <c r="I18" s="5">
        <f t="shared" si="3"/>
        <v>2.4942051385211252</v>
      </c>
      <c r="J18" s="5">
        <f t="shared" si="4"/>
        <v>0.68927143140197034</v>
      </c>
      <c r="K18" s="5">
        <f t="shared" si="5"/>
        <v>1.0094914660055989</v>
      </c>
      <c r="L18" s="5">
        <f>'Indirect Computation'!$U$6*SQRT(K18*J18)</f>
        <v>100.00000667232027</v>
      </c>
      <c r="M18" s="5">
        <f t="shared" si="6"/>
        <v>66.723202678531379</v>
      </c>
      <c r="N18" s="5">
        <f t="shared" si="7"/>
        <v>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605C8-96B0-4881-A0A5-D7FD1210BFB4}">
  <dimension ref="B1:N18"/>
  <sheetViews>
    <sheetView workbookViewId="0">
      <selection activeCell="J23" sqref="J23"/>
    </sheetView>
  </sheetViews>
  <sheetFormatPr defaultRowHeight="18.75"/>
  <cols>
    <col min="2" max="2" width="10.5" bestFit="1" customWidth="1"/>
    <col min="10" max="10" width="12.75" bestFit="1" customWidth="1"/>
    <col min="11" max="11" width="10.875" bestFit="1" customWidth="1"/>
    <col min="12" max="12" width="12.75" bestFit="1" customWidth="1"/>
    <col min="13" max="13" width="13.5" bestFit="1" customWidth="1"/>
    <col min="14" max="14" width="15.625" bestFit="1" customWidth="1"/>
  </cols>
  <sheetData>
    <row r="1" spans="2:14">
      <c r="B1" t="s">
        <v>47</v>
      </c>
    </row>
    <row r="3" spans="2:14" s="13" customFormat="1" ht="20.25">
      <c r="B3" s="17" t="s">
        <v>11</v>
      </c>
      <c r="C3" s="17" t="s">
        <v>15</v>
      </c>
      <c r="D3" s="16" t="s">
        <v>9</v>
      </c>
      <c r="E3" s="16" t="s">
        <v>35</v>
      </c>
      <c r="F3" s="16" t="s">
        <v>75</v>
      </c>
      <c r="G3" s="16" t="s">
        <v>76</v>
      </c>
      <c r="H3" s="16" t="s">
        <v>77</v>
      </c>
      <c r="I3" s="16" t="s">
        <v>12</v>
      </c>
      <c r="J3" s="16" t="s">
        <v>36</v>
      </c>
      <c r="K3" s="16" t="s">
        <v>78</v>
      </c>
      <c r="L3" s="16" t="s">
        <v>79</v>
      </c>
      <c r="M3" s="16" t="s">
        <v>13</v>
      </c>
      <c r="N3" s="16" t="s">
        <v>14</v>
      </c>
    </row>
    <row r="4" spans="2:14">
      <c r="B4" s="41">
        <v>9.9999999999999995E-8</v>
      </c>
      <c r="C4" s="40">
        <f>'Indirect Computation'!C6</f>
        <v>100</v>
      </c>
      <c r="D4" s="41">
        <v>2</v>
      </c>
      <c r="E4" s="5">
        <f>LN(D4/2+SQRT((D4/2)^2-1))</f>
        <v>0</v>
      </c>
      <c r="F4" s="5">
        <f>LN(D4-1)</f>
        <v>0</v>
      </c>
      <c r="G4" s="5">
        <f>'Indirect Computation'!$U$6*SQRT(F4*E4)</f>
        <v>0</v>
      </c>
      <c r="H4" s="5">
        <f>G4-$C$4</f>
        <v>-100</v>
      </c>
      <c r="I4" s="5">
        <f>D4+$B$4</f>
        <v>2.0000000999999998</v>
      </c>
      <c r="J4" s="5">
        <f>LN(I4/2+SQRT((I4/2)^2-1))</f>
        <v>3.1622776434960263E-4</v>
      </c>
      <c r="K4" s="5">
        <f>LN(I4-1)</f>
        <v>9.9999994836342465E-8</v>
      </c>
      <c r="L4" s="5">
        <f>'Indirect Computation'!$U$6*SQRT(K4*J4)</f>
        <v>6.7414536272524081E-4</v>
      </c>
      <c r="M4" s="5">
        <f>(L4-G4)/$B$4</f>
        <v>6741.4536272524083</v>
      </c>
      <c r="N4" s="5">
        <f>-H4/M4</f>
        <v>1.4833596065357297E-2</v>
      </c>
    </row>
    <row r="5" spans="2:14">
      <c r="D5" s="5">
        <f>IF((D4+N4)&gt;=2, D4+N4, 2)</f>
        <v>2.0148335960653574</v>
      </c>
      <c r="E5" s="5">
        <f t="shared" ref="E5:E18" si="0">LN(D5/2+SQRT((D5/2)^2-1))</f>
        <v>0.1217181003269719</v>
      </c>
      <c r="F5" s="5">
        <f t="shared" ref="F5:F18" si="1">LN(D5-1)</f>
        <v>1.4724654290144266E-2</v>
      </c>
      <c r="G5" s="5">
        <f>'Indirect Computation'!$U$6*SQRT(F5*E5)</f>
        <v>5.0752062974200634</v>
      </c>
      <c r="H5" s="5">
        <f t="shared" ref="H5:H18" si="2">G5-$C$4</f>
        <v>-94.924793702579933</v>
      </c>
      <c r="I5" s="5">
        <f t="shared" ref="I5:I18" si="3">D5+$B$4</f>
        <v>2.0148336960653572</v>
      </c>
      <c r="J5" s="5">
        <f t="shared" ref="J5:J18" si="4">LN(I5/2+SQRT((I5/2)^2-1))</f>
        <v>0.12171851009895862</v>
      </c>
      <c r="K5" s="5">
        <f t="shared" ref="K5:K18" si="5">LN(I5-1)</f>
        <v>1.472475282846158E-2</v>
      </c>
      <c r="L5" s="5">
        <f>'Indirect Computation'!$U$6*SQRT(K5*J5)</f>
        <v>5.0752318222215571</v>
      </c>
      <c r="M5" s="5">
        <f t="shared" ref="M5:M18" si="6">(L5-G5)/$B$4</f>
        <v>255.24801493759242</v>
      </c>
      <c r="N5" s="5">
        <f t="shared" ref="N5:N18" si="7">-H5/M5</f>
        <v>0.37189238758933674</v>
      </c>
    </row>
    <row r="6" spans="2:14">
      <c r="D6" s="5">
        <f t="shared" ref="D6:D18" si="8">IF((D5+N5)&gt;=2, D5+N5, 2)</f>
        <v>2.3867259836546939</v>
      </c>
      <c r="E6" s="5">
        <f t="shared" si="0"/>
        <v>0.61226477828073655</v>
      </c>
      <c r="F6" s="5">
        <f t="shared" si="1"/>
        <v>0.32694556136422448</v>
      </c>
      <c r="G6" s="5">
        <f>'Indirect Computation'!$U$6*SQRT(F6*E6)</f>
        <v>53.636561050566577</v>
      </c>
      <c r="H6" s="5">
        <f t="shared" si="2"/>
        <v>-46.363438949433423</v>
      </c>
      <c r="I6" s="5">
        <f t="shared" si="3"/>
        <v>2.3867260836546937</v>
      </c>
      <c r="J6" s="5">
        <f t="shared" si="4"/>
        <v>0.61226485505718853</v>
      </c>
      <c r="K6" s="5">
        <f t="shared" si="5"/>
        <v>0.32694563347652167</v>
      </c>
      <c r="L6" s="5">
        <f>'Indirect Computation'!$U$6*SQRT(K6*J6)</f>
        <v>53.636570328648034</v>
      </c>
      <c r="M6" s="5">
        <f t="shared" si="6"/>
        <v>92.78081456898235</v>
      </c>
      <c r="N6" s="5">
        <f t="shared" si="7"/>
        <v>0.49970933284878954</v>
      </c>
    </row>
    <row r="7" spans="2:14">
      <c r="D7" s="5">
        <f t="shared" si="8"/>
        <v>2.8864353165034835</v>
      </c>
      <c r="E7" s="5">
        <f t="shared" si="0"/>
        <v>0.90980233565052038</v>
      </c>
      <c r="F7" s="5">
        <f t="shared" si="1"/>
        <v>0.63468897226666932</v>
      </c>
      <c r="G7" s="5">
        <f>'Indirect Computation'!$U$6*SQRT(F7*E7)</f>
        <v>91.097731794316957</v>
      </c>
      <c r="H7" s="5">
        <f t="shared" si="2"/>
        <v>-8.9022682056830433</v>
      </c>
      <c r="I7" s="5">
        <f t="shared" si="3"/>
        <v>2.8864354165034833</v>
      </c>
      <c r="J7" s="5">
        <f t="shared" si="4"/>
        <v>0.90980238369908084</v>
      </c>
      <c r="K7" s="5">
        <f t="shared" si="5"/>
        <v>0.63468902527670168</v>
      </c>
      <c r="L7" s="5">
        <f>'Indirect Computation'!$U$6*SQRT(K7*J7)</f>
        <v>91.097738004147004</v>
      </c>
      <c r="M7" s="5">
        <f t="shared" si="6"/>
        <v>62.098300475099677</v>
      </c>
      <c r="N7" s="5">
        <f t="shared" si="7"/>
        <v>0.14335767867355237</v>
      </c>
    </row>
    <row r="8" spans="2:14">
      <c r="D8" s="5">
        <f t="shared" si="8"/>
        <v>3.0297929951770359</v>
      </c>
      <c r="E8" s="5">
        <f t="shared" si="0"/>
        <v>0.97563009903774656</v>
      </c>
      <c r="F8" s="5">
        <f t="shared" si="1"/>
        <v>0.70793381503492048</v>
      </c>
      <c r="G8" s="5">
        <f>'Indirect Computation'!$U$6*SQRT(F8*E8)</f>
        <v>99.630540767121033</v>
      </c>
      <c r="H8" s="5">
        <f t="shared" si="2"/>
        <v>-0.36945923287896676</v>
      </c>
      <c r="I8" s="5">
        <f t="shared" si="3"/>
        <v>3.0297930951770358</v>
      </c>
      <c r="J8" s="5">
        <f t="shared" si="4"/>
        <v>0.9756301429767259</v>
      </c>
      <c r="K8" s="5">
        <f t="shared" si="5"/>
        <v>0.70793386430102667</v>
      </c>
      <c r="L8" s="5">
        <f>'Indirect Computation'!$U$6*SQRT(K8*J8)</f>
        <v>99.630546477341653</v>
      </c>
      <c r="M8" s="5">
        <f t="shared" si="6"/>
        <v>57.10220619903339</v>
      </c>
      <c r="N8" s="5">
        <f t="shared" si="7"/>
        <v>6.4701393776484392E-3</v>
      </c>
    </row>
    <row r="9" spans="2:14">
      <c r="D9" s="5">
        <f t="shared" si="8"/>
        <v>3.0362631345546842</v>
      </c>
      <c r="E9" s="5">
        <f t="shared" si="0"/>
        <v>0.97846764906866224</v>
      </c>
      <c r="F9" s="5">
        <f t="shared" si="1"/>
        <v>0.71111633127780016</v>
      </c>
      <c r="G9" s="5">
        <f>'Indirect Computation'!$U$6*SQRT(F9*E9)</f>
        <v>99.999338180544896</v>
      </c>
      <c r="H9" s="5">
        <f t="shared" si="2"/>
        <v>-6.6181945510379592E-4</v>
      </c>
      <c r="I9" s="5">
        <f t="shared" si="3"/>
        <v>3.0362632345546841</v>
      </c>
      <c r="J9" s="5">
        <f t="shared" si="4"/>
        <v>0.9784676928421101</v>
      </c>
      <c r="K9" s="5">
        <f t="shared" si="5"/>
        <v>0.71111638038736547</v>
      </c>
      <c r="L9" s="5">
        <f>'Indirect Computation'!$U$6*SQRT(K9*J9)</f>
        <v>99.999343870334954</v>
      </c>
      <c r="M9" s="5">
        <f t="shared" si="6"/>
        <v>56.897900577723703</v>
      </c>
      <c r="N9" s="5">
        <f t="shared" si="7"/>
        <v>1.1631702547613983E-5</v>
      </c>
    </row>
    <row r="10" spans="2:14">
      <c r="D10" s="5">
        <f t="shared" si="8"/>
        <v>3.036274766257232</v>
      </c>
      <c r="E10" s="5">
        <f t="shared" si="0"/>
        <v>0.97847274064884582</v>
      </c>
      <c r="F10" s="5">
        <f t="shared" si="1"/>
        <v>0.71112204354019337</v>
      </c>
      <c r="G10" s="5">
        <f>'Indirect Computation'!$U$6*SQRT(F10*E10)</f>
        <v>99.999999997890697</v>
      </c>
      <c r="H10" s="5">
        <f t="shared" si="2"/>
        <v>-2.1093029545227182E-9</v>
      </c>
      <c r="I10" s="5">
        <f t="shared" si="3"/>
        <v>3.0362748662572319</v>
      </c>
      <c r="J10" s="5">
        <f t="shared" si="4"/>
        <v>0.97847278442199748</v>
      </c>
      <c r="K10" s="5">
        <f t="shared" si="5"/>
        <v>0.71112209264947812</v>
      </c>
      <c r="L10" s="5">
        <f>'Indirect Computation'!$U$6*SQRT(K10*J10)</f>
        <v>100.00000568764416</v>
      </c>
      <c r="M10" s="5">
        <f t="shared" si="6"/>
        <v>56.897534648214787</v>
      </c>
      <c r="N10" s="5">
        <f t="shared" si="7"/>
        <v>3.7071956940912899E-11</v>
      </c>
    </row>
    <row r="11" spans="2:14">
      <c r="D11" s="5">
        <f t="shared" si="8"/>
        <v>3.0362747662943042</v>
      </c>
      <c r="E11" s="5">
        <f t="shared" si="0"/>
        <v>0.97847274066507339</v>
      </c>
      <c r="F11" s="5">
        <f t="shared" si="1"/>
        <v>0.71112204355839914</v>
      </c>
      <c r="G11" s="5">
        <f>'Indirect Computation'!$U$6*SQRT(F11*E11)</f>
        <v>100</v>
      </c>
      <c r="H11" s="5">
        <f t="shared" si="2"/>
        <v>0</v>
      </c>
      <c r="I11" s="5">
        <f t="shared" si="3"/>
        <v>3.036274866294304</v>
      </c>
      <c r="J11" s="5">
        <f t="shared" si="4"/>
        <v>0.97847278443822516</v>
      </c>
      <c r="K11" s="5">
        <f t="shared" si="5"/>
        <v>0.711122092667684</v>
      </c>
      <c r="L11" s="5">
        <f>'Indirect Computation'!$U$6*SQRT(K11*J11)</f>
        <v>100.00000568975346</v>
      </c>
      <c r="M11" s="5">
        <f t="shared" si="6"/>
        <v>56.897534648214787</v>
      </c>
      <c r="N11" s="5">
        <f t="shared" si="7"/>
        <v>0</v>
      </c>
    </row>
    <row r="12" spans="2:14">
      <c r="D12" s="5">
        <f t="shared" si="8"/>
        <v>3.0362747662943042</v>
      </c>
      <c r="E12" s="5">
        <f t="shared" si="0"/>
        <v>0.97847274066507339</v>
      </c>
      <c r="F12" s="5">
        <f t="shared" si="1"/>
        <v>0.71112204355839914</v>
      </c>
      <c r="G12" s="5">
        <f>'Indirect Computation'!$U$6*SQRT(F12*E12)</f>
        <v>100</v>
      </c>
      <c r="H12" s="5">
        <f t="shared" si="2"/>
        <v>0</v>
      </c>
      <c r="I12" s="5">
        <f t="shared" si="3"/>
        <v>3.036274866294304</v>
      </c>
      <c r="J12" s="5">
        <f t="shared" si="4"/>
        <v>0.97847278443822516</v>
      </c>
      <c r="K12" s="5">
        <f t="shared" si="5"/>
        <v>0.711122092667684</v>
      </c>
      <c r="L12" s="5">
        <f>'Indirect Computation'!$U$6*SQRT(K12*J12)</f>
        <v>100.00000568975346</v>
      </c>
      <c r="M12" s="5">
        <f t="shared" si="6"/>
        <v>56.897534648214787</v>
      </c>
      <c r="N12" s="5">
        <f t="shared" si="7"/>
        <v>0</v>
      </c>
    </row>
    <row r="13" spans="2:14">
      <c r="D13" s="5">
        <f t="shared" si="8"/>
        <v>3.0362747662943042</v>
      </c>
      <c r="E13" s="5">
        <f t="shared" si="0"/>
        <v>0.97847274066507339</v>
      </c>
      <c r="F13" s="5">
        <f t="shared" si="1"/>
        <v>0.71112204355839914</v>
      </c>
      <c r="G13" s="5">
        <f>'Indirect Computation'!$U$6*SQRT(F13*E13)</f>
        <v>100</v>
      </c>
      <c r="H13" s="5">
        <f t="shared" si="2"/>
        <v>0</v>
      </c>
      <c r="I13" s="5">
        <f t="shared" si="3"/>
        <v>3.036274866294304</v>
      </c>
      <c r="J13" s="5">
        <f t="shared" si="4"/>
        <v>0.97847278443822516</v>
      </c>
      <c r="K13" s="5">
        <f t="shared" si="5"/>
        <v>0.711122092667684</v>
      </c>
      <c r="L13" s="5">
        <f>'Indirect Computation'!$U$6*SQRT(K13*J13)</f>
        <v>100.00000568975346</v>
      </c>
      <c r="M13" s="5">
        <f t="shared" si="6"/>
        <v>56.897534648214787</v>
      </c>
      <c r="N13" s="5">
        <f t="shared" si="7"/>
        <v>0</v>
      </c>
    </row>
    <row r="14" spans="2:14">
      <c r="D14" s="5">
        <f t="shared" si="8"/>
        <v>3.0362747662943042</v>
      </c>
      <c r="E14" s="5">
        <f t="shared" si="0"/>
        <v>0.97847274066507339</v>
      </c>
      <c r="F14" s="5">
        <f t="shared" si="1"/>
        <v>0.71112204355839914</v>
      </c>
      <c r="G14" s="5">
        <f>'Indirect Computation'!$U$6*SQRT(F14*E14)</f>
        <v>100</v>
      </c>
      <c r="H14" s="5">
        <f t="shared" si="2"/>
        <v>0</v>
      </c>
      <c r="I14" s="5">
        <f t="shared" si="3"/>
        <v>3.036274866294304</v>
      </c>
      <c r="J14" s="5">
        <f t="shared" si="4"/>
        <v>0.97847278443822516</v>
      </c>
      <c r="K14" s="5">
        <f t="shared" si="5"/>
        <v>0.711122092667684</v>
      </c>
      <c r="L14" s="5">
        <f>'Indirect Computation'!$U$6*SQRT(K14*J14)</f>
        <v>100.00000568975346</v>
      </c>
      <c r="M14" s="5">
        <f t="shared" si="6"/>
        <v>56.897534648214787</v>
      </c>
      <c r="N14" s="5">
        <f t="shared" si="7"/>
        <v>0</v>
      </c>
    </row>
    <row r="15" spans="2:14">
      <c r="D15" s="5">
        <f t="shared" si="8"/>
        <v>3.0362747662943042</v>
      </c>
      <c r="E15" s="5">
        <f t="shared" si="0"/>
        <v>0.97847274066507339</v>
      </c>
      <c r="F15" s="5">
        <f t="shared" si="1"/>
        <v>0.71112204355839914</v>
      </c>
      <c r="G15" s="5">
        <f>'Indirect Computation'!$U$6*SQRT(F15*E15)</f>
        <v>100</v>
      </c>
      <c r="H15" s="5">
        <f t="shared" si="2"/>
        <v>0</v>
      </c>
      <c r="I15" s="5">
        <f t="shared" si="3"/>
        <v>3.036274866294304</v>
      </c>
      <c r="J15" s="5">
        <f t="shared" si="4"/>
        <v>0.97847278443822516</v>
      </c>
      <c r="K15" s="5">
        <f t="shared" si="5"/>
        <v>0.711122092667684</v>
      </c>
      <c r="L15" s="5">
        <f>'Indirect Computation'!$U$6*SQRT(K15*J15)</f>
        <v>100.00000568975346</v>
      </c>
      <c r="M15" s="5">
        <f t="shared" si="6"/>
        <v>56.897534648214787</v>
      </c>
      <c r="N15" s="5">
        <f t="shared" si="7"/>
        <v>0</v>
      </c>
    </row>
    <row r="16" spans="2:14">
      <c r="D16" s="5">
        <f t="shared" si="8"/>
        <v>3.0362747662943042</v>
      </c>
      <c r="E16" s="5">
        <f t="shared" si="0"/>
        <v>0.97847274066507339</v>
      </c>
      <c r="F16" s="5">
        <f t="shared" si="1"/>
        <v>0.71112204355839914</v>
      </c>
      <c r="G16" s="5">
        <f>'Indirect Computation'!$U$6*SQRT(F16*E16)</f>
        <v>100</v>
      </c>
      <c r="H16" s="5">
        <f t="shared" si="2"/>
        <v>0</v>
      </c>
      <c r="I16" s="5">
        <f t="shared" si="3"/>
        <v>3.036274866294304</v>
      </c>
      <c r="J16" s="5">
        <f t="shared" si="4"/>
        <v>0.97847278443822516</v>
      </c>
      <c r="K16" s="5">
        <f t="shared" si="5"/>
        <v>0.711122092667684</v>
      </c>
      <c r="L16" s="5">
        <f>'Indirect Computation'!$U$6*SQRT(K16*J16)</f>
        <v>100.00000568975346</v>
      </c>
      <c r="M16" s="5">
        <f t="shared" si="6"/>
        <v>56.897534648214787</v>
      </c>
      <c r="N16" s="5">
        <f t="shared" si="7"/>
        <v>0</v>
      </c>
    </row>
    <row r="17" spans="4:14">
      <c r="D17" s="5">
        <f t="shared" si="8"/>
        <v>3.0362747662943042</v>
      </c>
      <c r="E17" s="5">
        <f t="shared" si="0"/>
        <v>0.97847274066507339</v>
      </c>
      <c r="F17" s="5">
        <f t="shared" si="1"/>
        <v>0.71112204355839914</v>
      </c>
      <c r="G17" s="5">
        <f>'Indirect Computation'!$U$6*SQRT(F17*E17)</f>
        <v>100</v>
      </c>
      <c r="H17" s="5">
        <f t="shared" si="2"/>
        <v>0</v>
      </c>
      <c r="I17" s="5">
        <f t="shared" si="3"/>
        <v>3.036274866294304</v>
      </c>
      <c r="J17" s="5">
        <f t="shared" si="4"/>
        <v>0.97847278443822516</v>
      </c>
      <c r="K17" s="5">
        <f t="shared" si="5"/>
        <v>0.711122092667684</v>
      </c>
      <c r="L17" s="5">
        <f>'Indirect Computation'!$U$6*SQRT(K17*J17)</f>
        <v>100.00000568975346</v>
      </c>
      <c r="M17" s="5">
        <f t="shared" si="6"/>
        <v>56.897534648214787</v>
      </c>
      <c r="N17" s="5">
        <f t="shared" si="7"/>
        <v>0</v>
      </c>
    </row>
    <row r="18" spans="4:14">
      <c r="D18" s="5">
        <f t="shared" si="8"/>
        <v>3.0362747662943042</v>
      </c>
      <c r="E18" s="5">
        <f t="shared" si="0"/>
        <v>0.97847274066507339</v>
      </c>
      <c r="F18" s="5">
        <f t="shared" si="1"/>
        <v>0.71112204355839914</v>
      </c>
      <c r="G18" s="5">
        <f>'Indirect Computation'!$U$6*SQRT(F18*E18)</f>
        <v>100</v>
      </c>
      <c r="H18" s="5">
        <f t="shared" si="2"/>
        <v>0</v>
      </c>
      <c r="I18" s="5">
        <f t="shared" si="3"/>
        <v>3.036274866294304</v>
      </c>
      <c r="J18" s="5">
        <f t="shared" si="4"/>
        <v>0.97847278443822516</v>
      </c>
      <c r="K18" s="5">
        <f t="shared" si="5"/>
        <v>0.711122092667684</v>
      </c>
      <c r="L18" s="5">
        <f>'Indirect Computation'!$U$6*SQRT(K18*J18)</f>
        <v>100.00000568975346</v>
      </c>
      <c r="M18" s="5">
        <f t="shared" si="6"/>
        <v>56.897534648214787</v>
      </c>
      <c r="N18" s="5">
        <f t="shared" si="7"/>
        <v>0</v>
      </c>
    </row>
  </sheetData>
  <phoneticPr fontId="1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Indirect Computation</vt:lpstr>
      <vt:lpstr>Direct Computation</vt:lpstr>
      <vt:lpstr>Study of f3</vt:lpstr>
      <vt:lpstr>Newton-f3f3</vt:lpstr>
      <vt:lpstr>Newton-fnewfnew</vt:lpstr>
      <vt:lpstr>Newton-fnewf3</vt:lpstr>
      <vt:lpstr>Newton-f1f3</vt:lpstr>
      <vt:lpstr>Newton-f2f3</vt:lpstr>
      <vt:lpstr>Newton-f7f3</vt:lpstr>
      <vt:lpstr>Newton-fpmaxf3</vt:lpstr>
      <vt:lpstr>'Indirect Computation'!_Hlk93484099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2022-12-18T01:48:23Z</dcterms:created>
  <dcterms:modified xsi:type="dcterms:W3CDTF">2023-02-06T01:33:47Z</dcterms:modified>
</cp:coreProperties>
</file>